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計算" sheetId="1" state="visible" r:id="rId1"/>
    <sheet xmlns:r="http://schemas.openxmlformats.org/officeDocument/2006/relationships" name="參數表" sheetId="2" state="visible" r:id="rId2"/>
    <sheet xmlns:r="http://schemas.openxmlformats.org/officeDocument/2006/relationships" name="說明" sheetId="3" state="visible" r:id="rId3"/>
  </sheets>
  <definedNames>
    <definedName name="_xlnm.Print_Area" localSheetId="0">'計算'!$A$1:$H$45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%"/>
    <numFmt numFmtId="165" formatCode="0.0000"/>
    <numFmt numFmtId="166" formatCode="0.0"/>
    <numFmt numFmtId="167" formatCode="0.000"/>
    <numFmt numFmtId="168" formatCode="0.00&quot;倍&quot;"/>
    <numFmt numFmtId="169" formatCode="0.00000&quot;倍&quot;"/>
    <numFmt numFmtId="170" formatCode="0.00000"/>
  </numFmts>
  <fonts count="9">
    <font>
      <name val="Calibri"/>
      <family val="2"/>
      <color theme="1"/>
      <sz val="11"/>
      <scheme val="minor"/>
    </font>
    <font>
      <name val="微軟正黑體"/>
      <b val="1"/>
      <color rgb="001F3864"/>
      <sz val="15"/>
    </font>
    <font>
      <name val="微軟正黑體"/>
      <b val="1"/>
      <color rgb="00FFFFFF"/>
      <sz val="10.5"/>
    </font>
    <font>
      <name val="微軟正黑體"/>
      <b val="1"/>
      <sz val="10"/>
    </font>
    <font>
      <name val="微軟正黑體"/>
      <sz val="10"/>
    </font>
    <font>
      <name val="微軟正黑體"/>
      <color rgb="00404040"/>
      <sz val="8.5"/>
    </font>
    <font>
      <name val="Cambria Math"/>
      <color rgb="001F3864"/>
      <sz val="9"/>
    </font>
    <font>
      <name val="微軟正黑體"/>
      <b val="1"/>
      <color rgb="00006100"/>
      <sz val="11"/>
    </font>
    <font>
      <name val="微軟正黑體"/>
      <sz val="9.5"/>
    </font>
  </fonts>
  <fills count="7">
    <fill>
      <patternFill/>
    </fill>
    <fill>
      <patternFill patternType="gray125"/>
    </fill>
    <fill>
      <patternFill patternType="solid">
        <fgColor rgb="002F5496"/>
      </patternFill>
    </fill>
    <fill>
      <patternFill patternType="solid">
        <fgColor rgb="00D9E1F2"/>
      </patternFill>
    </fill>
    <fill>
      <patternFill patternType="solid">
        <fgColor rgb="00F2F2F2"/>
      </patternFill>
    </fill>
    <fill>
      <patternFill patternType="solid">
        <fgColor rgb="00DDEBF7"/>
      </patternFill>
    </fill>
    <fill>
      <patternFill patternType="solid">
        <fgColor rgb="00E2EFDA"/>
      </patternFill>
    </fill>
  </fills>
  <borders count="11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/>
      <top style="thin">
        <color rgb="00A6A6A6"/>
      </top>
      <bottom style="thin">
        <color rgb="00A6A6A6"/>
      </bottom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  <border>
      <left style="thin">
        <color rgb="00A6A6A6"/>
      </left>
      <right/>
      <top/>
      <bottom/>
      <diagonal/>
    </border>
    <border>
      <left/>
      <right style="thin">
        <color rgb="00A6A6A6"/>
      </right>
      <top/>
      <bottom/>
      <diagonal/>
    </border>
    <border>
      <left style="thin">
        <color rgb="00A6A6A6"/>
      </left>
      <right/>
      <top/>
      <bottom style="thin">
        <color rgb="00A6A6A6"/>
      </bottom>
      <diagonal/>
    </border>
    <border>
      <left/>
      <right/>
      <top/>
      <bottom style="thin">
        <color rgb="00A6A6A6"/>
      </bottom>
      <diagonal/>
    </border>
    <border>
      <left/>
      <right style="thin">
        <color rgb="00A6A6A6"/>
      </right>
      <top/>
      <bottom style="thin">
        <color rgb="00A6A6A6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left" vertical="center" wrapText="1"/>
    </xf>
    <xf numFmtId="0" fontId="0" fillId="6" borderId="1" pivotButton="0" quotePrefix="0" xfId="0"/>
    <xf numFmtId="0" fontId="5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4" fillId="0" borderId="1" applyAlignment="1" pivotButton="0" quotePrefix="0" xfId="0">
      <alignment horizontal="left" vertical="center" wrapText="1"/>
    </xf>
    <xf numFmtId="0" fontId="3" fillId="5" borderId="1" applyAlignment="1" applyProtection="1" pivotButton="0" quotePrefix="0" xfId="0">
      <alignment horizontal="center" vertical="center" wrapText="1"/>
      <protection locked="0" hidden="0"/>
    </xf>
    <xf numFmtId="0" fontId="0" fillId="5" borderId="1" pivotButton="0" quotePrefix="0" xfId="0"/>
    <xf numFmtId="9" fontId="4" fillId="4" borderId="1" applyAlignment="1" pivotButton="0" quotePrefix="0" xfId="0">
      <alignment horizontal="center" vertical="center" wrapText="1"/>
    </xf>
    <xf numFmtId="167" fontId="4" fillId="4" borderId="1" applyAlignment="1" pivotButton="0" quotePrefix="0" xfId="0">
      <alignment horizontal="center" vertical="center" wrapText="1"/>
    </xf>
    <xf numFmtId="166" fontId="3" fillId="5" borderId="1" applyAlignment="1" applyProtection="1" pivotButton="0" quotePrefix="0" xfId="0">
      <alignment horizontal="center" vertical="center" wrapText="1"/>
      <protection locked="0" hidden="0"/>
    </xf>
    <xf numFmtId="0" fontId="4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166" fontId="4" fillId="4" borderId="1" applyAlignment="1" pivotButton="0" quotePrefix="0" xfId="0">
      <alignment horizontal="center" vertical="center" wrapText="1"/>
    </xf>
    <xf numFmtId="2" fontId="4" fillId="4" borderId="1" applyAlignment="1" pivotButton="0" quotePrefix="0" xfId="0">
      <alignment horizontal="center" vertical="center" wrapText="1"/>
    </xf>
    <xf numFmtId="1" fontId="3" fillId="5" borderId="1" applyAlignment="1" applyProtection="1" pivotButton="0" quotePrefix="0" xfId="0">
      <alignment horizontal="center" vertical="center" wrapText="1"/>
      <protection locked="0" hidden="0"/>
    </xf>
    <xf numFmtId="3" fontId="4" fillId="4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2" fontId="4" fillId="0" borderId="1" applyAlignment="1" pivotButton="0" quotePrefix="0" xfId="0">
      <alignment horizontal="center" vertical="center" wrapText="1"/>
    </xf>
    <xf numFmtId="167" fontId="4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7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  <xf numFmtId="3" fontId="4" fillId="0" borderId="1" applyAlignment="1" pivotButton="0" quotePrefix="0" xfId="0">
      <alignment horizontal="center" vertical="center" wrapText="1"/>
    </xf>
    <xf numFmtId="168" fontId="4" fillId="0" borderId="1" applyAlignment="1" pivotButton="0" quotePrefix="0" xfId="0">
      <alignment horizontal="center" vertical="center" wrapText="1"/>
    </xf>
    <xf numFmtId="1" fontId="4" fillId="0" borderId="1" applyAlignment="1" pivotButton="0" quotePrefix="0" xfId="0">
      <alignment horizontal="center" vertical="center" wrapText="1"/>
    </xf>
    <xf numFmtId="166" fontId="4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169" fontId="4" fillId="0" borderId="1" applyAlignment="1" pivotButton="0" quotePrefix="0" xfId="0" applyNumberFormat="1">
      <alignment horizontal="center" vertical="center" wrapText="1"/>
    </xf>
    <xf numFmtId="2" fontId="4" fillId="4" borderId="1" applyAlignment="1" pivotButton="0" quotePrefix="0" xfId="0" applyNumberFormat="1">
      <alignment horizontal="center" vertical="center" wrapText="1"/>
    </xf>
  </cellXfs>
  <cellStyles count="1">
    <cellStyle name="Normal" xfId="0" builtinId="0" hidden="0"/>
  </cellStyles>
  <dxfs count="3">
    <dxf>
      <font>
        <name val="微軟正黑體"/>
        <b val="1"/>
        <color rgb="00C00000"/>
        <sz val="10"/>
      </font>
    </dxf>
    <dxf>
      <font>
        <name val="微軟正黑體"/>
        <b val="1"/>
        <color rgb="00006100"/>
        <sz val="10"/>
      </font>
    </dxf>
    <dxf>
      <font>
        <name val="微軟正黑體"/>
        <b val="1"/>
        <color rgb="00C00000"/>
        <sz val="1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26</row>
      <rowOff>0</rowOff>
    </from>
    <ext cx="9334500" cy="8610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0.5" customWidth="1" min="2" max="2"/>
    <col width="10.5" customWidth="1" min="3" max="3"/>
    <col width="10.5" customWidth="1" min="4" max="4"/>
    <col width="12" customWidth="1" min="5" max="5"/>
    <col width="10.5" customWidth="1" min="6" max="6"/>
    <col width="12" customWidth="1" min="7" max="7"/>
    <col width="10.5" customWidth="1" min="8" max="8"/>
  </cols>
  <sheetData>
    <row r="1" ht="24" customHeight="1">
      <c r="A1" s="1" t="inlineStr">
        <is>
          <t>剛性鋪面　版厚與接縫計算表　V2-38t修訂</t>
        </is>
      </c>
    </row>
    <row r="2" ht="22" customHeight="1">
      <c r="A2" s="2" t="str">
        <f>IF(NOT(ISNUMBER($H$3)),"有檢核待另算：ACM模型限原四軸/六板與Ø32×45@30之原條件。20年交通見②；支承條件待確認。",IF(AND($H$3&gt;=1,$E$28="OK",$E$29="OK",$E$34="OK",$E$37="OK",$E$38="OK",$E$40="OK",$E$41="OK"),"結論：h="&amp;$B$16&amp;"cm；本假設情境彎拉/接縫及20年交通通過（交通比 "&amp;TEXT($D$28,"0.00000")&amp;"）；支承假設待現地確認。","有檢核不足：單次MR/σ="&amp;TEXT($H$3,"0.000")&amp;"，20年容量比 "&amp;TEXT($D$28,"0.00000")&amp;"；請看各項判定。"))</f>
        <v>結論：h=25cm；本假設情境彎拉/接縫及20年交通通過（交通比 1.97141）；支承假設待現地確認。</v>
      </c>
      <c r="B2" s="3" t="n"/>
      <c r="C2" s="3" t="n"/>
      <c r="D2" s="3" t="n"/>
      <c r="E2" s="3" t="n"/>
      <c r="F2" s="3" t="n"/>
      <c r="G2" s="3" t="n"/>
      <c r="H2" s="3" t="n"/>
    </row>
    <row r="3" ht="18" customHeight="1">
      <c r="A3" s="7" t="inlineStr">
        <is>
          <t>單次彎拉 σ（ACM情境，kgf/cm²）</t>
        </is>
      </c>
      <c r="B3" s="7"/>
      <c r="C3" s="7"/>
      <c r="D3" s="40">
        <f>IF(AND(ISNUMBER($B$6),$B$6&gt;=35,$B$6&lt;=45,$B$5="4軸貨車（雙前軸＋後雙軸）"),IF(AND($B$16=25,$B$14=3,$B$15=4,$F$6=5,$H$8=300000,ABS($C$19-$B$6*2/7)&lt;1E-8,ABS($C$20-$B$6*5/7)&lt;1E-8,$C$21=0,$B$19="雙前軸",$B$20="雙軸",$F$12="有",$F$11=32,VLOOKUP($B$16,參數表!$A$52:$D$55,3,TRUE)=45,VLOOKUP($B$16,參數表!$A$52:$D$55,4,TRUE)=30,ABS(參數表!$B$69-41520)&lt;0.01),25.100000000000001*$B$6/38,"另算"),"另算")</f>
        <v>25.1</v>
      </c>
      <c r="E3" t="inlineStr" s="7">
        <is>
          <t>MR(kgf/cm²)</t>
        </is>
      </c>
      <c r="F3" s="18">
        <f>$F$8</f>
        <v>45</v>
      </c>
      <c r="G3" t="inlineStr" s="7">
        <is>
          <t>MR/σ</t>
        </is>
      </c>
      <c r="H3" s="40">
        <f>IF(AND(ISNUMBER(D3),D3&gt;0),F3/D3,"—")</f>
        <v>1.79282868525896</v>
      </c>
    </row>
    <row r="4" ht="16" customHeight="1">
      <c r="A4" s="5" t="inlineStr">
        <is>
          <t>輸入（藍底）</t>
        </is>
      </c>
      <c r="B4" s="6" t="n"/>
      <c r="C4" s="6" t="n"/>
      <c r="D4" s="6" t="n"/>
      <c r="E4" s="5" t="inlineStr">
        <is>
          <t>由參數表帶出（不用填）</t>
        </is>
      </c>
      <c r="F4" s="6" t="n"/>
      <c r="G4" s="6" t="n"/>
      <c r="H4" s="6" t="n"/>
    </row>
    <row r="5" ht="18" customHeight="1">
      <c r="A5" s="7" t="inlineStr">
        <is>
          <t>設計車種 ▼</t>
        </is>
      </c>
      <c r="B5" s="8" t="inlineStr">
        <is>
          <t>4軸貨車（雙前軸＋後雙軸）</t>
        </is>
      </c>
      <c r="C5" s="9" t="n"/>
      <c r="D5" s="9" t="n"/>
      <c r="E5" s="7" t="inlineStr">
        <is>
          <t>可靠度 R</t>
        </is>
      </c>
      <c r="F5" s="10">
        <f>INDEX(參數表!$C$13:$C$17,MATCH($B$10,參數表!$A$13:$A$17,0))</f>
        <v>0.8</v>
      </c>
      <c r="G5" s="7" t="inlineStr">
        <is>
          <t>Z_R</t>
        </is>
      </c>
      <c r="H5" s="11">
        <f>_xlfn.NORM.S.INV(1-F5)</f>
        <v>-0.841621233572914</v>
      </c>
    </row>
    <row r="6" ht="16" customHeight="1">
      <c r="A6" s="7" t="inlineStr">
        <is>
          <t>整車滿載總重 W</t>
        </is>
      </c>
      <c r="B6" s="12">
        <v>38</v>
      </c>
      <c r="C6" s="13" t="inlineStr">
        <is>
          <t>t</t>
        </is>
      </c>
      <c r="D6" s="14" t="n"/>
      <c r="E6" s="7" t="inlineStr">
        <is>
          <t>k(kgf/cm³)</t>
        </is>
      </c>
      <c r="F6" s="15">
        <f>INDEX(參數表!$D$21:$D$25,MAX(1,MATCH($B$11,參數表!$A$21:$A$25,0)-IF(LEFT($B$12,1)="有",1,0)))</f>
        <v>5</v>
      </c>
      <c r="G6" s="7" t="inlineStr">
        <is>
          <t>標準差 So</t>
        </is>
      </c>
      <c r="H6" s="16">
        <f>參數表!$B$62</f>
        <v>0.35</v>
      </c>
    </row>
    <row r="7" ht="16" customHeight="1">
      <c r="A7" s="7" t="inlineStr">
        <is>
          <t>每天重車數 q</t>
        </is>
      </c>
      <c r="B7" s="17" t="n">
        <v>50</v>
      </c>
      <c r="C7" s="13" t="inlineStr">
        <is>
          <t>台／日</t>
        </is>
      </c>
      <c r="D7" s="14" t="n"/>
      <c r="E7" s="7" t="inlineStr">
        <is>
          <t>傳遞係數 J</t>
        </is>
      </c>
      <c r="F7" s="15">
        <f>INDEX(參數表!$C$29:$C$32,MATCH($B$13,參數表!$A$29:$A$32,0))</f>
        <v>3.2</v>
      </c>
      <c r="G7" s="7" t="inlineStr">
        <is>
          <t>排水 Cd</t>
        </is>
      </c>
      <c r="H7" s="16">
        <f>INDEX(參數表!$C$36:$C$38,MATCH(參數表!$B$41,參數表!$A$36:$A$38,0))</f>
        <v>1</v>
      </c>
    </row>
    <row r="8" ht="16" customHeight="1">
      <c r="A8" s="7" t="inlineStr">
        <is>
          <t>每年使用日 a</t>
        </is>
      </c>
      <c r="B8" s="17" t="n">
        <v>300</v>
      </c>
      <c r="C8" s="13" t="inlineStr">
        <is>
          <t>日</t>
        </is>
      </c>
      <c r="D8" s="14" t="n"/>
      <c r="E8" s="7" t="inlineStr">
        <is>
          <t>MR(kgf/cm²)</t>
        </is>
      </c>
      <c r="F8" s="18">
        <f>參數表!$B$59</f>
        <v>45</v>
      </c>
      <c r="G8" s="7" t="inlineStr">
        <is>
          <t>Ec(kgf/cm²)</t>
        </is>
      </c>
      <c r="H8" s="18">
        <f>參數表!$B$61</f>
        <v>300000</v>
      </c>
    </row>
    <row r="9" ht="16" customHeight="1">
      <c r="A9" s="7" t="inlineStr">
        <is>
          <t>設計年限 Y</t>
        </is>
      </c>
      <c r="B9" s="17" t="n">
        <v>20</v>
      </c>
      <c r="C9" s="13" t="inlineStr">
        <is>
          <t>年</t>
        </is>
      </c>
      <c r="D9" s="14" t="n"/>
      <c r="E9" s="7" t="inlineStr">
        <is>
          <t>f′c暫採(kgf/cm²)</t>
        </is>
      </c>
      <c r="F9" s="18">
        <f>參數表!$B$60</f>
        <v>350</v>
      </c>
      <c r="G9" s="7" t="inlineStr">
        <is>
          <t>摩擦 F</t>
        </is>
      </c>
      <c r="H9" s="15">
        <f>IF(LEFT($B$12,1)="有",參數表!$C$45,IF(MAX(1,MATCH($B$11,參數表!$A$21:$A$25,0)-IF(LEFT($B$12,1)="有",1,0))&lt;=2,參數表!$C$46,參數表!$C$47))</f>
        <v>1.5</v>
      </c>
    </row>
    <row r="10" ht="18" customHeight="1">
      <c r="A10" s="7" t="inlineStr">
        <is>
          <t>道路類別 ▼</t>
        </is>
      </c>
      <c r="B10" s="8" t="inlineStr">
        <is>
          <t>廠區／私人道路</t>
        </is>
      </c>
      <c r="C10" s="9" t="n"/>
      <c r="D10" s="9" t="n"/>
      <c r="E10" s="7" t="inlineStr">
        <is>
          <t>p₀／pₜ</t>
        </is>
      </c>
      <c r="F10" s="15">
        <f>參數表!$B$63</f>
        <v>4.4</v>
      </c>
      <c r="G10" s="7" t="inlineStr"/>
      <c r="H10" s="15">
        <f>參數表!$B$64</f>
        <v>2.5</v>
      </c>
    </row>
    <row r="11" ht="18" customHeight="1">
      <c r="A11" s="7" t="inlineStr">
        <is>
          <t>路基土壤 ▼</t>
        </is>
      </c>
      <c r="B11" s="8" t="inlineStr">
        <is>
          <t>良好</t>
        </is>
      </c>
      <c r="C11" s="9" t="n"/>
      <c r="D11" s="9" t="n"/>
      <c r="E11" s="7" t="inlineStr">
        <is>
          <t>光面桿徑(mm)</t>
        </is>
      </c>
      <c r="F11" s="19">
        <f>IF($F$12="有",VLOOKUP($B$16,參數表!$A$52:$D$55,2,TRUE),"—")</f>
        <v>32</v>
      </c>
      <c r="G11" s="7" t="inlineStr">
        <is>
          <t>長／間距(cm)</t>
        </is>
      </c>
      <c r="H11" s="20" t="str">
        <f>IF($F$12="有",VLOOKUP($B$16,參數表!$A$52:$D$55,3,TRUE)&amp;"／"&amp;VLOOKUP($B$16,參數表!$A$52:$D$55,4,TRUE),"—")</f>
        <v>45／30</v>
      </c>
    </row>
    <row r="12" ht="16" customHeight="1">
      <c r="A12" s="7" t="inlineStr">
        <is>
          <t>級配底層 ▼</t>
        </is>
      </c>
      <c r="B12" s="8" t="inlineStr">
        <is>
          <t>無</t>
        </is>
      </c>
      <c r="C12" s="9" t="n"/>
      <c r="D12" s="9" t="n"/>
      <c r="E12" s="7" t="inlineStr">
        <is>
          <t>有無傳力桿</t>
        </is>
      </c>
      <c r="F12" s="20" t="str">
        <f>INDEX(參數表!$D$29:$D$32,MATCH($B$13,參數表!$A$29:$A$32,0))</f>
        <v>有</v>
      </c>
      <c r="G12" s="7" t="inlineStr">
        <is>
          <t>竹節拉桿長</t>
        </is>
      </c>
      <c r="H12" s="19">
        <f>參數表!$B$67</f>
        <v>80</v>
      </c>
    </row>
    <row r="13" ht="18" customHeight="1">
      <c r="A13" s="7" t="inlineStr">
        <is>
          <t>板側邊與傳力桿 ▼</t>
        </is>
      </c>
      <c r="B13" s="8" t="inlineStr">
        <is>
          <t>無路肩或瀝青路肩＋有傳力桿</t>
        </is>
      </c>
      <c r="C13" s="9" t="n"/>
      <c r="D13" s="9" t="n"/>
      <c r="E13" s="7" t="inlineStr">
        <is>
          <t>拉桿採用間距</t>
        </is>
      </c>
      <c r="F13" s="19">
        <f>參數表!$B$68</f>
        <v>80</v>
      </c>
      <c r="G13" s="7" t="inlineStr">
        <is>
          <t>fy(kgf/cm²)</t>
        </is>
      </c>
      <c r="H13" s="18">
        <f>參數表!$B$65</f>
        <v>4200</v>
      </c>
    </row>
    <row r="14" ht="16" customHeight="1">
      <c r="A14" s="7" t="inlineStr">
        <is>
          <t>單一車道寬 b</t>
        </is>
      </c>
      <c r="B14" s="12" t="n">
        <v>3</v>
      </c>
      <c r="C14" s="13" t="inlineStr">
        <is>
          <t>m</t>
        </is>
      </c>
      <c r="D14" s="14" t="n"/>
      <c r="E14" s="21" t="inlineStr">
        <is>
          <t>參數來源與修改方式見「參數表」；車種軸重比例、k 值、可靠度都在那裡改，不必在本頁輸入。</t>
        </is>
      </c>
      <c r="F14" s="14" t="n"/>
      <c r="G14" s="14" t="n"/>
      <c r="H14" s="14" t="n"/>
    </row>
    <row r="15" ht="16" customHeight="1">
      <c r="A15" s="7" t="inlineStr">
        <is>
          <t>縮縫間距 L</t>
        </is>
      </c>
      <c r="B15" s="12" t="n">
        <v>4</v>
      </c>
      <c r="C15" s="13" t="inlineStr">
        <is>
          <t>m</t>
        </is>
      </c>
      <c r="D15" s="14" t="n"/>
      <c r="E15" s="14" t="n"/>
      <c r="F15" s="14" t="n"/>
      <c r="G15" s="14" t="n"/>
      <c r="H15" s="14" t="n"/>
    </row>
    <row r="16" ht="16" customHeight="1">
      <c r="A16" s="7" t="inlineStr">
        <is>
          <t>採用板厚 h</t>
        </is>
      </c>
      <c r="B16" s="17" t="n">
        <v>25</v>
      </c>
      <c r="C16" s="13" t="inlineStr">
        <is>
          <t>cm</t>
        </is>
      </c>
      <c r="D16" s="14" t="n"/>
      <c r="E16" s="14" t="n"/>
      <c r="F16" s="14" t="n"/>
      <c r="G16" s="14" t="n"/>
      <c r="H16" s="14" t="n"/>
    </row>
    <row r="17" ht="18" customHeight="1">
      <c r="A17" s="22" t="inlineStr">
        <is>
          <t>① 交通量 → 18kip 標準單軸當量（ESAL）</t>
        </is>
      </c>
      <c r="B17" s="23" t="n"/>
      <c r="C17" s="23" t="n"/>
      <c r="D17" s="23" t="n"/>
      <c r="E17" s="23" t="n"/>
      <c r="F17" s="23" t="n"/>
      <c r="G17" s="23" t="n"/>
      <c r="H17" s="23" t="n"/>
    </row>
    <row r="18" ht="16" customHeight="1">
      <c r="A18" s="5" t="inlineStr">
        <is>
          <t>軸組</t>
        </is>
      </c>
      <c r="B18" s="5" t="inlineStr">
        <is>
          <t>型式</t>
        </is>
      </c>
      <c r="C18" s="5" t="inlineStr">
        <is>
          <t>軸組重 t</t>
        </is>
      </c>
      <c r="D18" s="5" t="inlineStr">
        <is>
          <t>每軸重 t</t>
        </is>
      </c>
      <c r="E18" s="5" t="inlineStr">
        <is>
          <t>當量係數 E</t>
        </is>
      </c>
      <c r="F18" s="5" t="inlineStr">
        <is>
          <t>說明</t>
        </is>
      </c>
      <c r="G18" s="6" t="n"/>
      <c r="H18" s="6" t="n"/>
    </row>
    <row r="19" ht="16" customHeight="1">
      <c r="A19" s="7" t="inlineStr">
        <is>
          <t>軸組 1</t>
        </is>
      </c>
      <c r="B19" s="13" t="str">
        <f>INDEX(參數表!$C$5:$C$9,MATCH($B$5,參數表!$A$5:$A$9,0))</f>
        <v>雙前軸</v>
      </c>
      <c r="C19" s="24">
        <f>IF(B19="無",0,$B$6*INDEX(參數表!$D$5:$D$9,MATCH($B$5,參數表!$A$5:$A$9,0)))</f>
        <v>10.8571428571429</v>
      </c>
      <c r="D19" s="24">
        <f>IF(C19=0,0,C19/IF(B19="單軸",1,IF(B19="三軸",3,2)))</f>
        <v>5.42857142857143</v>
      </c>
      <c r="E19" s="25">
        <f>IF(OR(C19=0,B19="無"),0,IF(B19="雙前軸",MAX(2*10^(-(4.62*LOG10(19)-4.62*LOG10(((C19/2)*2.2046226218)+1)+3.28*LOG10(1)+LOG10((4.5-$H$10)/3)/(1+3.63*(((C19/2)*2.2046226218)+1)^5.2/(((($B$16)/2.54)+1)^8.46*(1)^3.52))-LOG10((4.5-$H$10)/3)/(1+3.63*(18+1)^5.2/(((($B$16)/2.54)+1)^8.46)))),10^(-(4.62*LOG10(19)-4.62*LOG10(((C19)*2.2046226218)+2)+3.28*LOG10(2)+LOG10((4.5-$H$10)/3)/(1+3.63*(((C19)*2.2046226218)+2)^5.2/(((($B$16)/2.54)+1)^8.46*(2)^3.52))-LOG10((4.5-$H$10)/3)/(1+3.63*(18+1)^5.2/(((($B$16)/2.54)+1)^8.46))))),10^(-(4.62*LOG10(19)-4.62*LOG10(((C19)*2.2046226218)+MATCH(B19,{"單軸","雙軸","三軸"},0))+3.28*LOG10(MATCH(B19,{"單軸","雙軸","三軸"},0))+LOG10((4.5-$H$10)/3)/(1+3.63*(((C19)*2.2046226218)+MATCH(B19,{"單軸","雙軸","三軸"},0))^5.2/(((($B$16)/2.54)+1)^8.46*(MATCH(B19,{"單軸","雙軸","三軸"},0))^3.52))-LOG10((4.5-$H$10)/3)/(1+3.63*(18+1)^5.2/(((($B$16)/2.54)+1)^8.46))))))</f>
        <v>0.436203289252688</v>
      </c>
      <c r="F19" s="21" t="str">
        <f>"比例取自參數表「"&amp;$B$5&amp;"」；雙前軸取「兩單軸」與「一雙軸」較大值。"</f>
        <v>比例取自參數表「4軸貨車（雙前軸＋後雙軸）」；雙前軸取「兩單軸」與「一雙軸」較大值。</v>
      </c>
      <c r="G19" s="14" t="n"/>
      <c r="H19" s="14" t="n"/>
    </row>
    <row r="20" ht="16" customHeight="1">
      <c r="A20" s="7" t="inlineStr">
        <is>
          <t>軸組 2</t>
        </is>
      </c>
      <c r="B20" s="13" t="str">
        <f>INDEX(參數表!$E$5:$E$9,MATCH($B$5,參數表!$A$5:$A$9,0))</f>
        <v>雙軸</v>
      </c>
      <c r="C20" s="24">
        <f>IF(B20="無",0,$B$6*INDEX(參數表!$F$5:$F$9,MATCH($B$5,參數表!$A$5:$A$9,0)))</f>
        <v>27.1428571428571</v>
      </c>
      <c r="D20" s="24">
        <f>IF(C20=0,0,C20/IF(B20="單軸",1,IF(B20="三軸",3,2)))</f>
        <v>13.5714285714286</v>
      </c>
      <c r="E20" s="25">
        <f>IF(OR(C20=0,B20="無"),0,IF(B20="雙前軸",MAX(2*10^(-(4.62*LOG10(19)-4.62*LOG10(((C20/2)*2.2046226218)+1)+3.28*LOG10(1)+LOG10((4.5-$H$10)/3)/(1+3.63*(((C20/2)*2.2046226218)+1)^5.2/(((($B$16)/2.54)+1)^8.46*(1)^3.52))-LOG10((4.5-$H$10)/3)/(1+3.63*(18+1)^5.2/(((($B$16)/2.54)+1)^8.46)))),10^(-(4.62*LOG10(19)-4.62*LOG10(((C20)*2.2046226218)+2)+3.28*LOG10(2)+LOG10((4.5-$H$10)/3)/(1+3.63*(((C20)*2.2046226218)+2)^5.2/(((($B$16)/2.54)+1)^8.46*(2)^3.52))-LOG10((4.5-$H$10)/3)/(1+3.63*(18+1)^5.2/(((($B$16)/2.54)+1)^8.46))))),10^(-(4.62*LOG10(19)-4.62*LOG10(((C20)*2.2046226218)+MATCH(B20,{"單軸","雙軸","三軸"},0))+3.28*LOG10(MATCH(B20,{"單軸","雙軸","三軸"},0))+LOG10((4.5-$H$10)/3)/(1+3.63*(((C20)*2.2046226218)+MATCH(B20,{"單軸","雙軸","三軸"},0))^5.2/(((($B$16)/2.54)+1)^8.46*(MATCH(B20,{"單軸","雙軸","三軸"},0))^3.52))-LOG10((4.5-$H$10)/3)/(1+3.63*(18+1)^5.2/(((($B$16)/2.54)+1)^8.46))))))</f>
        <v>19.5616301108423</v>
      </c>
      <c r="F20" s="14" t="n"/>
      <c r="G20" s="14" t="n"/>
      <c r="H20" s="14" t="n"/>
    </row>
    <row r="21" ht="16" customHeight="1">
      <c r="A21" s="7" t="inlineStr">
        <is>
          <t>軸組 3</t>
        </is>
      </c>
      <c r="B21" s="13" t="str">
        <f>INDEX(參數表!$G$5:$G$9,MATCH($B$5,參數表!$A$5:$A$9,0))</f>
        <v>無</v>
      </c>
      <c r="C21" s="24">
        <f>IF(B21="無",0,$B$6*INDEX(參數表!$H$5:$H$9,MATCH($B$5,參數表!$A$5:$A$9,0)))</f>
        <v>0</v>
      </c>
      <c r="D21" s="24">
        <f>IF(C21=0,0,C21/IF(B21="單軸",1,IF(B21="三軸",3,2)))</f>
        <v>0</v>
      </c>
      <c r="E21" s="25">
        <f>IF(OR(C21=0,B21="無"),0,IF(B21="雙前軸",MAX(2*10^(-(4.62*LOG10(19)-4.62*LOG10(((C21/2)*2.2046226218)+1)+3.28*LOG10(1)+LOG10((4.5-$H$10)/3)/(1+3.63*(((C21/2)*2.2046226218)+1)^5.2/(((($B$16)/2.54)+1)^8.46*(1)^3.52))-LOG10((4.5-$H$10)/3)/(1+3.63*(18+1)^5.2/(((($B$16)/2.54)+1)^8.46)))),10^(-(4.62*LOG10(19)-4.62*LOG10(((C21)*2.2046226218)+2)+3.28*LOG10(2)+LOG10((4.5-$H$10)/3)/(1+3.63*(((C21)*2.2046226218)+2)^5.2/(((($B$16)/2.54)+1)^8.46*(2)^3.52))-LOG10((4.5-$H$10)/3)/(1+3.63*(18+1)^5.2/(((($B$16)/2.54)+1)^8.46))))),10^(-(4.62*LOG10(19)-4.62*LOG10(((C21)*2.2046226218)+MATCH(B21,{"單軸","雙軸","三軸"},0))+3.28*LOG10(MATCH(B21,{"單軸","雙軸","三軸"},0))+LOG10((4.5-$H$10)/3)/(1+3.63*(((C21)*2.2046226218)+MATCH(B21,{"單軸","雙軸","三軸"},0))^5.2/(((($B$16)/2.54)+1)^8.46*(MATCH(B21,{"單軸","雙軸","三軸"},0))^3.52))-LOG10((4.5-$H$10)/3)/(1+3.63*(18+1)^5.2/(((($B$16)/2.54)+1)^8.46))))))</f>
        <v>0</v>
      </c>
      <c r="F21" s="14" t="n"/>
      <c r="G21" s="14" t="n"/>
      <c r="H21" s="14" t="n"/>
    </row>
    <row r="22" ht="16" customHeight="1">
      <c r="A22" s="26" t="inlineStr">
        <is>
          <t>每車當量 ΣE</t>
        </is>
      </c>
      <c r="B22" s="7" t="inlineStr"/>
      <c r="C22" s="7" t="inlineStr"/>
      <c r="D22" s="7" t="inlineStr"/>
      <c r="E22" s="27">
        <f>SUM(E19:E21)</f>
        <v>19.997833400095</v>
      </c>
      <c r="F22" s="28" t="str">
        <f>"N="&amp;TEXT(($B$7*$B$8*$B$9),"#,##0")&amp;"台　W需="&amp;TEXT(($B$7*$B$8*$B$9)*E22,"#,##0")</f>
        <v>N=300,000台　W需=5,999,350</v>
      </c>
      <c r="G22" s="14" t="n"/>
      <c r="H22" s="14" t="n"/>
    </row>
    <row r="23" ht="15" customHeight="1">
      <c r="A23" s="29" t="inlineStr">
        <is>
          <t>E＝10^(−A)，A＝4.62log19−4.62log(L+m)+3.28log m+G/β−G/β₁₈，β＝1+3.63(L+m)^5.2/[(D+1)^8.46 m^3.52]，G＝log[(4.5−pₜ)/3]；N＝q·a·Y　[1]</t>
        </is>
      </c>
    </row>
    <row r="24" ht="18" customHeight="1">
      <c r="A24" s="22" t="inlineStr">
        <is>
          <t>② 版厚：AASHTO 剛性鋪面法（市區道路設計規範 9.5 指定參考）</t>
        </is>
      </c>
      <c r="B24" s="23" t="n"/>
      <c r="C24" s="23" t="n"/>
      <c r="D24" s="23" t="n"/>
      <c r="E24" s="23" t="n"/>
      <c r="F24" s="23" t="n"/>
      <c r="G24" s="23" t="n"/>
      <c r="H24" s="23" t="n"/>
    </row>
    <row r="25" ht="15" customHeight="1">
      <c r="A25" s="29" t="inlineStr">
        <is>
          <t>log W允＝Z_R·S₀＋7.35log(D+1)−0.06＋log[(p₀−pₜ)/3]/[1＋1.624×10⁷/(D+1)^8.46]</t>
        </is>
      </c>
    </row>
    <row r="26" ht="15" customHeight="1">
      <c r="A26" s="29" t="inlineStr">
        <is>
          <t xml:space="preserve">　　＋(4.22−0.32pₜ)·log{MR·Cd·(D^0.75−1.132)/[215.63·J·(D^0.75−18.42/(Ec/k)^0.25)]}（D＝h/2.54 in；MR、Ec 換 psi，k 換 pci）[2]</t>
        </is>
      </c>
    </row>
    <row r="27" ht="16" customHeight="1">
      <c r="A27" s="5" t="inlineStr">
        <is>
          <t>檢核項目</t>
        </is>
      </c>
      <c r="B27" s="5" t="inlineStr">
        <is>
          <t>需求</t>
        </is>
      </c>
      <c r="C27" s="5" t="inlineStr">
        <is>
          <t>容許／提供</t>
        </is>
      </c>
      <c r="D27" s="5" t="inlineStr">
        <is>
          <t>容許÷需求</t>
        </is>
      </c>
      <c r="E27" s="5" t="inlineStr">
        <is>
          <t>判定</t>
        </is>
      </c>
      <c r="F27" s="5" t="inlineStr">
        <is>
          <t>依據／說明</t>
        </is>
      </c>
      <c r="G27" s="6" t="n"/>
      <c r="H27" s="6" t="n"/>
    </row>
    <row r="28" ht="16" customHeight="1">
      <c r="A28" s="7" t="inlineStr">
        <is>
          <t>20年當量軸次</t>
        </is>
      </c>
      <c r="B28" s="30">
        <f>($B$7*$B$8*$B$9)*E22</f>
        <v>5999350.02002849</v>
      </c>
      <c r="C28" s="30">
        <f>10^($H$5*$H$6+7.35*LOG10((($B$16)/2.54)+1)-0.06+LOG10(($F$10-$H$10)/3)/(1+1.624E7/((($B$16)/2.54)+1)^8.46)+(4.22-0.32*$H$10)*LOG10(($F$8*14.223343307)*$H$7*((($B$16)/2.54)^0.75-1.132)/(215.63*$F$7*((($B$16)/2.54)^0.75-18.42/(($H$8*14.223343307)/($F$6*36.127292))^0.25))))</f>
        <v>11827192.476136</v>
      </c>
      <c r="D28" s="39">
        <f>IF(AND(ISNUMBER(B28),ISNUMBER(C28),B28&gt;0),C28/B28,"—")</f>
        <v>1.97141230910874</v>
      </c>
      <c r="E28" s="28" t="str">
        <f>IF(ISNUMBER(D28),IF(D28&gt;=1,"OK","不足"),"—")</f>
        <v>OK</v>
      </c>
      <c r="F28" s="21" t="inlineStr">
        <is>
          <t>容量比是交通量餘裕，不是材料安全係數</t>
        </is>
      </c>
      <c r="G28" s="14" t="n"/>
      <c r="H28" s="14" t="n"/>
    </row>
    <row r="29" ht="24" customHeight="1">
      <c r="A29" s="7" t="inlineStr">
        <is>
          <t>交通/原選桿下限</t>
        </is>
      </c>
      <c r="B29" s="32">
        <f>參數表!$K$3</f>
        <v>23</v>
      </c>
      <c r="C29" s="32">
        <f>$B$16</f>
        <v>25</v>
      </c>
      <c r="D29" s="31">
        <f>IF(AND(ISNUMBER(B29),ISNUMBER(C29),B29&gt;0),C29/B29,"—")</f>
        <v>1.08695652173913</v>
      </c>
      <c r="E29" s="28" t="str">
        <f>IF(ISNUMBER(D29),IF(D29&gt;=1,"OK","不足"),"—")</f>
        <v>OK</v>
      </c>
      <c r="F29" s="21" t="str">
        <f>"交通"&amp;參數表!$K$4&amp;"/原選桿"&amp;參數表!$K$3&amp;"cm；該厚未作全車FE"</f>
        <v>交通23/原選桿23cm；該厚未作全車FE</v>
      </c>
      <c r="G29" s="14" t="n"/>
      <c r="H29" s="14" t="n"/>
    </row>
    <row r="30" ht="30" customHeight="1">
      <c r="A30" s="4" t="inlineStr">
        <is>
          <t>ACM六板四軸：σ=(底25.1／頂22.3)×W/38 kgf/cm²；僅35–45t原軸距/輪印、h25/k5/Ec30萬/ν.15/4×3m及核定接縫近似。非全域/溫差包絡；k非qa、MR/σ非規範安全係數。</t>
        </is>
      </c>
    </row>
    <row r="31" ht="30" customHeight="1">
      <c r="A31" s="22" t="inlineStr">
        <is>
          <t>③ 光面傳力桿 Ø32×L45cm：窄縫@30／首末15cm；備用伸縫@25／首末12.5cm，填板2cm、設計開口z≤2.5cm（接固定構造物時）。</t>
        </is>
      </c>
      <c r="B31" s="23" t="n"/>
      <c r="C31" s="23" t="n"/>
      <c r="D31" s="23" t="n"/>
      <c r="E31" s="23" t="n"/>
      <c r="F31" s="23" t="n"/>
      <c r="G31" s="23" t="n"/>
      <c r="H31" s="23" t="n"/>
    </row>
    <row r="32" ht="24" customHeight="1">
      <c r="A32" s="29" t="inlineStr">
        <is>
          <t>Pc=MAX(原群桿式,複核Pc38×W/38)；窄/伸縫分算。σb=K₀Pc(2+βz)/(4β³EsI)，容許=(4−d[in])fc′/3；K₀=41520。[3]及本次ACM複核</t>
        </is>
      </c>
    </row>
    <row r="33" ht="16" customHeight="1">
      <c r="A33" s="21" t="inlineStr">
        <is>
          <t>窄縫Pc (kgf)</t>
        </is>
      </c>
      <c r="B33" s="33">
        <f>IF(ISNUMBER($D$3),MAX((0.45*(MAX(D19:D21)/2*1000)*(1-15/(($H$8*$B$16^3/(12*(1-0.15^2)*$F$6))^0.25))/SUMPRODUCT((1-{15,45,75,105,135,165}/(($H$8*$B$16^3/(12*(1-0.15^2)*$F$6))^0.25))*({15,45,75,105,135,165}&lt;(($H$8*$B$16^3/(12*(1-0.15^2)*$F$6))^0.25)))),(1900*$B$6/38)),"另算")</f>
        <v>1900</v>
      </c>
      <c r="C33" t="inlineStr" s="21">
        <is>
          <t>z≤.3cm</t>
        </is>
      </c>
      <c r="D33" t="inlineStr" s="21">
        <is>
          <t>伸縫Pc (kgf)</t>
        </is>
      </c>
      <c r="E33" s="33">
        <f>IF(ISNUMBER($D$3),MAX((0.45*(MAX(D19:D21)/2*1000)*(1-12.5/(($H$8*$B$16^3/(12*(1-0.15^2)*$F$6))^0.25))/SUMPRODUCT((1-{12.5,37.5,62.5,87.5,112.5,137.5,162.5,187.5,212.5,237.5,262.5,287.5}/(($H$8*$B$16^3/(12*(1-0.15^2)*$F$6))^0.25))*({12.5,37.5,62.5,87.5,112.5,137.5,162.5,187.5,212.5,237.5,262.5,287.5}&lt;(($H$8*$B$16^3/(12*(1-0.15^2)*$F$6))^0.25)))),(1540*$B$6/38)),"另算")</f>
        <v>1540</v>
      </c>
      <c r="F33" t="inlineStr" s="21">
        <is>
          <t>z≤2.5cm</t>
        </is>
      </c>
      <c r="G33" t="inlineStr" s="21">
        <is>
          <t>取兩法較大</t>
        </is>
      </c>
      <c r="H33" t="inlineStr" s="21">
        <is>
          <t>本案同條件</t>
        </is>
      </c>
    </row>
    <row r="34" ht="16" customHeight="1">
      <c r="A34" s="7" t="str">
        <f>IF(AND(ISNUMBER($B$33),ISNUMBER($E$33)),IF(((參數表!$B$69*($B$33)*(2+((參數表!$B$69*(($F$11/10))/(4*2040000*(PI()*(($F$11/10))^4/64)))^0.25)*.3)/(4*((參數表!$B$69*(($F$11/10))/(4*2040000*(PI()*(($F$11/10))^4/64)))^0.25)^3*2040000*(PI()*(($F$11/10))^4/64)))/((4-(($F$11/10))/2.54)*$F$9/3)&gt;=(參數表!$B$69*($E$33)*(2+((參數表!$B$69*(3.2000000000000002)/(4*2040000*(PI()*(3.2000000000000002)^4/64)))^0.25)*2.5)/(4*((參數表!$B$69*(3.2000000000000002)/(4*2040000*(PI()*(3.2000000000000002)^4/64)))^0.25)^3*2040000*(PI()*(3.2000000000000002)^4/64)))/((4-(3.2000000000000002)/2.54)*$F$9/3)),"窄縫σb (kgf/cm²)","伸縫σb (kgf/cm²)"),"J1承壓需另算")</f>
        <v>伸縫σb (kgf/cm²)</v>
      </c>
      <c r="B34" s="33">
        <f>IF(AND(ISNUMBER($B$33),ISNUMBER($E$33)),IF(((參數表!$B$69*($B$33)*(2+((參數表!$B$69*(($F$11/10))/(4*2040000*(PI()*(($F$11/10))^4/64)))^0.25)*.3)/(4*((參數表!$B$69*(($F$11/10))/(4*2040000*(PI()*(($F$11/10))^4/64)))^0.25)^3*2040000*(PI()*(($F$11/10))^4/64)))/((4-(($F$11/10))/2.54)*$F$9/3)&gt;=(參數表!$B$69*($E$33)*(2+((參數表!$B$69*(3.2000000000000002)/(4*2040000*(PI()*(3.2000000000000002)^4/64)))^0.25)*2.5)/(4*((參數表!$B$69*(3.2000000000000002)/(4*2040000*(PI()*(3.2000000000000002)^4/64)))^0.25)^3*2040000*(PI()*(3.2000000000000002)^4/64)))/((4-(3.2000000000000002)/2.54)*$F$9/3)),(參數表!$B$69*($B$33)*(2+((參數表!$B$69*(($F$11/10))/(4*2040000*(PI()*(($F$11/10))^4/64)))^0.25)*.3)/(4*((參數表!$B$69*(($F$11/10))/(4*2040000*(PI()*(($F$11/10))^4/64)))^0.25)^3*2040000*(PI()*(($F$11/10))^4/64))),(參數表!$B$69*($E$33)*(2+((參數表!$B$69*(3.2000000000000002)/(4*2040000*(PI()*(3.2000000000000002)^4/64)))^0.25)*2.5)/(4*((參數表!$B$69*(3.2000000000000002)/(4*2040000*(PI()*(3.2000000000000002)^4/64)))^0.25)^3*2040000*(PI()*(3.2000000000000002)^4/64)))),"另算")</f>
        <v>295.932249692949</v>
      </c>
      <c r="C34" s="33">
        <f>IF(AND(ISNUMBER($B$33),ISNUMBER($E$33)),IF(((參數表!$B$69*($B$33)*(2+((參數表!$B$69*(($F$11/10))/(4*2040000*(PI()*(($F$11/10))^4/64)))^0.25)*.3)/(4*((參數表!$B$69*(($F$11/10))/(4*2040000*(PI()*(($F$11/10))^4/64)))^0.25)^3*2040000*(PI()*(($F$11/10))^4/64)))/((4-(($F$11/10))/2.54)*$F$9/3)&gt;=(參數表!$B$69*($E$33)*(2+((參數表!$B$69*(3.2000000000000002)/(4*2040000*(PI()*(3.2000000000000002)^4/64)))^0.25)*2.5)/(4*((參數表!$B$69*(3.2000000000000002)/(4*2040000*(PI()*(3.2000000000000002)^4/64)))^0.25)^3*2040000*(PI()*(3.2000000000000002)^4/64)))/((4-(3.2000000000000002)/2.54)*$F$9/3)),((4-(($F$11/10))/2.54)*$F$9/3),((4-(3.2000000000000002)/2.54)*$F$9/3)),"—")</f>
        <v>319.685039370079</v>
      </c>
      <c r="D34" s="31">
        <f>IF(AND(ISNUMBER(B34),ISNUMBER(C34),B34&gt;0),C34/B34,"—")</f>
        <v>1.08026428245578</v>
      </c>
      <c r="E34" s="28" t="str">
        <f>IF(ISNUMBER(D34),IF(D34&gt;=1,"OK","不足"),"—")</f>
        <v>OK</v>
      </c>
      <c r="F34" s="21" t="str">
        <f>IF(AND(ISNUMBER($B$33),ISNUMBER($E$33)),IF(((參數表!$B$69*($B$33)*(2+((參數表!$B$69*(($F$11/10))/(4*2040000*(PI()*(($F$11/10))^4/64)))^0.25)*.3)/(4*((參數表!$B$69*(($F$11/10))/(4*2040000*(PI()*(($F$11/10))^4/64)))^0.25)^3*2040000*(PI()*(($F$11/10))^4/64)))/((4-(($F$11/10))/2.54)*$F$9/3)&gt;=(參數表!$B$69*($E$33)*(2+((參數表!$B$69*(3.2000000000000002)/(4*2040000*(PI()*(3.2000000000000002)^4/64)))^0.25)*2.5)/(4*((參數表!$B$69*(3.2000000000000002)/(4*2040000*(PI()*(3.2000000000000002)^4/64)))^0.25)^3*2040000*(PI()*(3.2000000000000002)^4/64)))/((4-(3.2000000000000002)/2.54)*$F$9/3)),"另：伸縫σ/容="&amp;TEXT((參數表!$B$69*($E$33)*(2+((參數表!$B$69*(3.2000000000000002)/(4*2040000*(PI()*(3.2000000000000002)^4/64)))^0.25)*2.5)/(4*((參數表!$B$69*(3.2000000000000002)/(4*2040000*(PI()*(3.2000000000000002)^4/64)))^0.25)^3*2040000*(PI()*(3.2000000000000002)^4/64))),"0.0")&amp;"/"&amp;TEXT(((4-(3.2000000000000002)/2.54)*$F$9/3),"0.0"),"另：窄縫σ/容="&amp;TEXT((參數表!$B$69*($B$33)*(2+((參數表!$B$69*(($F$11/10))/(4*2040000*(PI()*(($F$11/10))^4/64)))^0.25)*.3)/(4*((參數表!$B$69*(($F$11/10))/(4*2040000*(PI()*(($F$11/10))^4/64)))^0.25)^3*2040000*(PI()*(($F$11/10))^4/64))),"0.0")&amp;"/"&amp;TEXT(((4-(($F$11/10))/2.54)*$F$9/3),"0.0")),"僅本案同條件，其他另算")</f>
        <v>另：窄縫σ/容=291.6/319.7</v>
      </c>
      <c r="G34" s="14" t="n"/>
      <c r="H34" s="14" t="n"/>
    </row>
    <row r="35" ht="18" customHeight="1">
      <c r="A35" s="22" t="inlineStr">
        <is>
          <t>④ 中央縱縫竹節拉結筋 D16（長度、間距見上方參數與表8）</t>
        </is>
      </c>
      <c r="B35" s="23" t="n"/>
      <c r="C35" s="23" t="n"/>
      <c r="D35" s="23" t="n"/>
      <c r="E35" s="23" t="n"/>
      <c r="F35" s="23" t="n"/>
      <c r="G35" s="23" t="n"/>
      <c r="H35" s="23" t="n"/>
    </row>
    <row r="36" ht="15" customHeight="1">
      <c r="A36" s="29" t="inlineStr">
        <is>
          <t>最大間距 s＝As·fs/(F·γ·h·b)，fs＝0.75fy；錨定 ld＝max{30, fy·ψs·db/[3.5√fc′·2.5]}，ψs＝0.8、db＝1.59cm　[4][5]</t>
        </is>
      </c>
    </row>
    <row r="37" ht="16" customHeight="1">
      <c r="A37" s="7" t="inlineStr">
        <is>
          <t>拉桿間距 (cm)</t>
        </is>
      </c>
      <c r="B37" s="32">
        <f>$F$13</f>
        <v>80</v>
      </c>
      <c r="C37" s="32">
        <f>1.986*0.75*$H$13/($H$9*參數表!$B$66*$B$16*$B$14*100)</f>
        <v>231.7</v>
      </c>
      <c r="D37" s="31">
        <f>IF(AND(ISNUMBER(B37),ISNUMBER(C37),B37&gt;0),C37/B37,"—")</f>
        <v>2.89625</v>
      </c>
      <c r="E37" s="28" t="str">
        <f>IF(ISNUMBER(D37),IF(D37&gt;=1,"OK","不足"),"—")</f>
        <v>OK</v>
      </c>
      <c r="F37" s="21" t="str">
        <f>"採用 @"&amp;$F$13&amp;"cm；右為最大容許間距"</f>
        <v>採用 @80cm；右為最大容許間距</v>
      </c>
      <c r="G37" s="14" t="n"/>
      <c r="H37" s="14" t="n"/>
    </row>
    <row r="38" ht="16" customHeight="1">
      <c r="A38" s="7" t="inlineStr">
        <is>
          <t>拉桿每側錨定 (cm)</t>
        </is>
      </c>
      <c r="B38" s="33">
        <f>MAX(30,$H$13*0.8*1.59/(3.5*SQRT($F$9)*2.5))</f>
        <v>32.63580477241</v>
      </c>
      <c r="C38" s="33">
        <f>參數表!$B$67/2-2-0.05</f>
        <v>37.95</v>
      </c>
      <c r="D38" s="31">
        <f>IF(AND(ISNUMBER(B38),ISNUMBER(C38),B38&gt;0),C38/B38,"—")</f>
        <v>1.16283328279015</v>
      </c>
      <c r="E38" s="28" t="str">
        <f>IF(ISNUMBER(D38),IF(D38&gt;=1,"OK","不足"),"—")</f>
        <v>OK</v>
      </c>
      <c r="F38" s="21" t="inlineStr">
        <is>
          <t>可用＝長度/2−居中誤差2cm−縫寬</t>
        </is>
      </c>
      <c r="G38" s="14" t="n"/>
      <c r="H38" s="14" t="n"/>
    </row>
    <row r="39" ht="18" customHeight="1">
      <c r="A39" s="22" t="inlineStr">
        <is>
          <t>⑤ 接縫間距與鋼筋網（本案不配鋼筋網）</t>
        </is>
      </c>
      <c r="B39" s="23" t="n"/>
      <c r="C39" s="23" t="n"/>
      <c r="D39" s="23" t="n"/>
      <c r="E39" s="23" t="n"/>
      <c r="F39" s="23" t="n"/>
      <c r="G39" s="23" t="n"/>
      <c r="H39" s="23" t="n"/>
    </row>
    <row r="40" ht="16" customHeight="1">
      <c r="A40" s="7" t="inlineStr">
        <is>
          <t>縮縫間距 (cm)</t>
        </is>
      </c>
      <c r="B40" s="32">
        <f>$B$15*100</f>
        <v>400</v>
      </c>
      <c r="C40" s="32">
        <f>24*$B$16</f>
        <v>600</v>
      </c>
      <c r="D40" s="31">
        <f>IF(AND(ISNUMBER(B40),ISNUMBER(C40),B40&gt;0),C40/B40,"—")</f>
        <v>1.5</v>
      </c>
      <c r="E40" s="28" t="str">
        <f>IF(ISNUMBER(D40),IF(D40&gt;=1,"OK","超出範圍"),"—")</f>
        <v>OK</v>
      </c>
      <c r="F40" s="21" t="inlineStr">
        <is>
          <t>≤24h（市區道路設計規範 9.5.5）；超過即超出本表範圍</t>
        </is>
      </c>
      <c r="G40" s="14" t="n"/>
      <c r="H40" s="14" t="n"/>
    </row>
    <row r="41">
      <c r="A41" s="7" t="inlineStr">
        <is>
          <t>版塊長寬比 L/b</t>
        </is>
      </c>
      <c r="B41" s="24">
        <f>$B$15/$B$14</f>
        <v>1.33333333333333</v>
      </c>
      <c r="C41" s="24">
        <f>1.5</f>
        <v>1.5</v>
      </c>
      <c r="D41" s="31">
        <f>IF(AND(ISNUMBER(B41),ISNUMBER(C41),B41&gt;0),C41/B41,"—")</f>
        <v>1.125</v>
      </c>
      <c r="E41" s="28" t="str">
        <f>IF(ISNUMBER(D41),IF(D41&gt;=1,"OK","不足"),"—")</f>
        <v>OK</v>
      </c>
      <c r="F41" s="21" t="inlineStr">
        <is>
          <t>≤1.5（FHWA T 5040.30 p.7）</t>
        </is>
      </c>
      <c r="G41" s="14" t="n"/>
      <c r="H41" s="14" t="n"/>
    </row>
    <row r="42" ht="27" customHeight="1">
      <c r="A42" s="34" t="str">
        <f>IF($B$15*100&lt;=24*$B$16,"鋼筋網：本表不把鋼筋網計入抗彎。縮縫間距≤24h 屬「接縫型水泥混凝土鋪面」（素混凝土，市區道路9.5.1第1類），版厚由混凝土本身抗彎（見說明頁）。","縮縫間距超過 24h：不符市區道路設計規範 9.5.5，也超出本表（短板接縫型素混凝土）適用範圍。請縮短縫距；若確需長板，須另行 JRCP 設計並確認適用規範。")</f>
        <v>鋼筋網：本表不把鋼筋網計入抗彎。縮縫間距≤24h 屬「接縫型水泥混凝土鋪面」（素混凝土，市區道路9.5.1第1類），版厚由混凝土本身抗彎（見說明頁）。</v>
      </c>
    </row>
    <row r="43" ht="27" customHeight="1">
      <c r="A43" s="34" t="str">
        <f>"橫/縱縮縫切深採 h/3，向上取0.5cm＝"&amp;TEXT(CEILING($B$16/3,0.5),"0.0")&amp;"cm（本案設計採值）。依02751 V4.0 §3.2.8於澆置後8～24h內，配合防崩角及早鋸縫。"&amp;IF(LEFT($B$12,1)="有","級配底層夯實均勻。","卵礫石整平壓實、移除凸石，濕潤不積水；板邊回填夯實防淘刷。")</f>
        <v>橫/縱縮縫切深採 h/3，向上取0.5cm＝8.5cm（本案設計採值）。依02751 V4.0 §3.2.8於澆置後8～24h內，配合防崩角及早鋸縫。卵礫石整平壓實、移除凸石，濕潤不積水；板邊回填夯實防淘刷。</v>
      </c>
    </row>
    <row r="44">
      <c r="A44" s="34" t="inlineStr">
        <is>
          <t>MR≥45kgf/cm²須依CNS1233試驗；f′c＝350kgf/cm²暫採，非MR換算。本表未完成板剪力/沖切與傳力桿鋼材抗力檢核。超重須重算。</t>
        </is>
      </c>
    </row>
    <row r="45" ht="26" customHeight="1">
      <c r="A45" s="4" t="inlineStr">
        <is>
          <t>[1] TxDOT 0-6850-1 (2017) §3.3.2　[2] SHRP-P-394 (1994) 式6.2（AASHTO 1993 原式）　[3] FHWA-HRT-06-106 (2009) 式12~24　[4] FHWA-HIF-16-026 (2016) p.41；NHI-05-037 表5-47　[5] 混凝土結構設計規範112年版 §25.4.2.4　接縫配置：FHWA T 5040.30 (2019) p.7、11、16、34。參數表依據見各表。</t>
        </is>
      </c>
    </row>
  </sheetData>
  <mergeCells count="44">
    <mergeCell ref="B11:D11"/>
    <mergeCell ref="A30:H30"/>
    <mergeCell ref="C6:D6"/>
    <mergeCell ref="A39:H39"/>
    <mergeCell ref="F18:H18"/>
    <mergeCell ref="C15:D15"/>
    <mergeCell ref="A4:D4"/>
    <mergeCell ref="A24:H24"/>
    <mergeCell ref="F41:H41"/>
    <mergeCell ref="B13:D13"/>
    <mergeCell ref="C14:D14"/>
    <mergeCell ref="A36:H36"/>
    <mergeCell ref="A1:H1"/>
    <mergeCell ref="A45:H45"/>
    <mergeCell ref="B10:D10"/>
    <mergeCell ref="F38:H38"/>
    <mergeCell ref="F22:H22"/>
    <mergeCell ref="C16:D16"/>
    <mergeCell ref="F28:H28"/>
    <mergeCell ref="A25:H25"/>
    <mergeCell ref="F27:H27"/>
    <mergeCell ref="C9:D9"/>
    <mergeCell ref="F37:H37"/>
    <mergeCell ref="A3:C3"/>
    <mergeCell ref="B5:D5"/>
    <mergeCell ref="A26:H26"/>
    <mergeCell ref="A2:H2"/>
    <mergeCell ref="E4:H4"/>
    <mergeCell ref="A42:H42"/>
    <mergeCell ref="E14:H16"/>
    <mergeCell ref="A23:H23"/>
    <mergeCell ref="A32:H32"/>
    <mergeCell ref="F29:H29"/>
    <mergeCell ref="C8:D8"/>
    <mergeCell ref="A17:H17"/>
    <mergeCell ref="F34:H34"/>
    <mergeCell ref="F19:H21"/>
    <mergeCell ref="C7:D7"/>
    <mergeCell ref="A35:H35"/>
    <mergeCell ref="A43:H43"/>
    <mergeCell ref="F40:H40"/>
    <mergeCell ref="A44:H44"/>
    <mergeCell ref="B12:D12"/>
    <mergeCell ref="A31:H31"/>
  </mergeCells>
  <conditionalFormatting sqref="E40">
    <cfRule type="expression" priority="1" dxfId="0">
      <formula>E40="超出範圍"</formula>
    </cfRule>
    <cfRule type="expression" priority="12" dxfId="0">
      <formula>E40="不足"</formula>
    </cfRule>
    <cfRule type="expression" priority="13" dxfId="1">
      <formula>E40="OK"</formula>
    </cfRule>
    <cfRule type="expression" priority="16" dxfId="0">
      <formula>E40="不足"</formula>
    </cfRule>
    <cfRule type="expression" priority="17" dxfId="1">
      <formula>E40="OK"</formula>
    </cfRule>
  </conditionalFormatting>
  <conditionalFormatting sqref="E28">
    <cfRule type="expression" priority="2" dxfId="0">
      <formula>E28="不足"</formula>
    </cfRule>
    <cfRule type="expression" priority="3" dxfId="1">
      <formula>E28="OK"</formula>
    </cfRule>
  </conditionalFormatting>
  <conditionalFormatting sqref="E29">
    <cfRule type="expression" priority="4" dxfId="0">
      <formula>E29="不足"</formula>
    </cfRule>
    <cfRule type="expression" priority="5" dxfId="1">
      <formula>E29="OK"</formula>
    </cfRule>
  </conditionalFormatting>
  <conditionalFormatting sqref="E34">
    <cfRule type="expression" priority="6" dxfId="0">
      <formula>E34="不足"</formula>
    </cfRule>
    <cfRule type="expression" priority="7" dxfId="1">
      <formula>E34="OK"</formula>
    </cfRule>
  </conditionalFormatting>
  <conditionalFormatting sqref="E37">
    <cfRule type="expression" priority="8" dxfId="0">
      <formula>E37="不足"</formula>
    </cfRule>
    <cfRule type="expression" priority="9" dxfId="1">
      <formula>E37="OK"</formula>
    </cfRule>
  </conditionalFormatting>
  <conditionalFormatting sqref="E38">
    <cfRule type="expression" priority="10" dxfId="0">
      <formula>E38="不足"</formula>
    </cfRule>
    <cfRule type="expression" priority="11" dxfId="1">
      <formula>E38="OK"</formula>
    </cfRule>
  </conditionalFormatting>
  <conditionalFormatting sqref="E41">
    <cfRule type="expression" priority="14" dxfId="0">
      <formula>E41="不足"</formula>
    </cfRule>
    <cfRule type="expression" priority="15" dxfId="1">
      <formula>E41="OK"</formula>
    </cfRule>
  </conditionalFormatting>
  <conditionalFormatting sqref="A2">
    <cfRule type="expression" priority="18" dxfId="2">
      <formula>LEFT($A$2,3)&lt;&gt;"結論："</formula>
    </cfRule>
  </conditionalFormatting>
  <dataValidations count="12">
    <dataValidation sqref="B5" showDropDown="0" showInputMessage="0" showErrorMessage="0" allowBlank="0" type="list">
      <formula1>=參數表!$A$5:$A$9</formula1>
    </dataValidation>
    <dataValidation sqref="B10" showDropDown="0" showInputMessage="0" showErrorMessage="0" allowBlank="0" type="list">
      <formula1>=參數表!$A$13:$A$17</formula1>
    </dataValidation>
    <dataValidation sqref="B11" showDropDown="0" showInputMessage="0" showErrorMessage="0" allowBlank="0" type="list">
      <formula1>=參數表!$A$21:$A$25</formula1>
    </dataValidation>
    <dataValidation sqref="B12" showDropDown="0" showInputMessage="0" showErrorMessage="0" allowBlank="0" type="list">
      <formula1>"無,有（15cm以上）"</formula1>
    </dataValidation>
    <dataValidation sqref="B13" showDropDown="0" showInputMessage="0" showErrorMessage="0" allowBlank="0" type="list">
      <formula1>=參數表!$A$29:$A$32</formula1>
    </dataValidation>
    <dataValidation sqref="B6" showDropDown="0" showInputMessage="0" showErrorMessage="1" allowBlank="0" errorTitle="輸入範圍" error="請輸入 大於 0 ～ 100000 的數字" type="decimal" operator="between">
      <formula1>0.0001</formula1>
      <formula2>100000</formula2>
    </dataValidation>
    <dataValidation sqref="B7" showDropDown="0" showInputMessage="0" showErrorMessage="1" allowBlank="0" errorTitle="輸入範圍" error="請輸入 大於 0 ～ 100000 的數字" type="decimal" operator="between">
      <formula1>0.0001</formula1>
      <formula2>100000</formula2>
    </dataValidation>
    <dataValidation sqref="B8" showDropDown="0" showInputMessage="0" showErrorMessage="1" allowBlank="0" errorTitle="輸入範圍" error="請輸入 1 ～ 366 的數字" type="decimal" operator="between">
      <formula1>1</formula1>
      <formula2>366</formula2>
    </dataValidation>
    <dataValidation sqref="B9" showDropDown="0" showInputMessage="0" showErrorMessage="1" allowBlank="0" errorTitle="輸入範圍" error="請輸入 大於 0 ～ 100000 的數字" type="decimal" operator="between">
      <formula1>0.0001</formula1>
      <formula2>100000</formula2>
    </dataValidation>
    <dataValidation sqref="B14" showDropDown="0" showInputMessage="0" showErrorMessage="1" allowBlank="0" errorTitle="輸入範圍" error="請輸入 大於 0 ～ 100000 的數字" type="decimal" operator="between">
      <formula1>0.0001</formula1>
      <formula2>100000</formula2>
    </dataValidation>
    <dataValidation sqref="B15" showDropDown="0" showInputMessage="0" showErrorMessage="1" allowBlank="0" errorTitle="輸入範圍" error="請輸入 大於 0 ～ 100000 的數字" type="decimal" operator="between">
      <formula1>0.0001</formula1>
      <formula2>100000</formula2>
    </dataValidation>
    <dataValidation sqref="B16" showDropDown="0" showInputMessage="0" showErrorMessage="1" allowBlank="0" errorTitle="輸入範圍" error="請輸入 15 ～ 40 的數字" type="decimal" operator="between">
      <formula1>15</formula1>
      <formula2>40</formula2>
    </dataValidation>
  </dataValidations>
  <printOptions horizontalCentered="1"/>
  <pageMargins left="0.5" right="0.5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0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30" customWidth="1" min="9" max="9"/>
    <col width="12" customWidth="1" min="10" max="10"/>
    <col width="10" customWidth="1" min="11" max="11"/>
    <col width="11" customWidth="1" min="12" max="12"/>
    <col width="12" customWidth="1" min="13" max="13"/>
  </cols>
  <sheetData>
    <row r="1">
      <c r="A1" s="1" t="inlineStr">
        <is>
          <t>參數表　—　計算表的下拉選單從這裡帶值；一般不必修改，有實測或機關規定時才改灰底數字</t>
        </is>
      </c>
    </row>
    <row r="2">
      <c r="J2" s="5" t="inlineStr">
        <is>
          <t>原選桿試算</t>
        </is>
      </c>
      <c r="K2" s="5" t="inlineStr">
        <is>
          <t>下限厚度(cm)</t>
        </is>
      </c>
    </row>
    <row r="3">
      <c r="A3" s="22" t="inlineStr">
        <is>
          <t>表1　設計車種與軸重分配（比例為工程估算，有過磅資料請改比例）</t>
        </is>
      </c>
      <c r="B3" s="23" t="n"/>
      <c r="C3" s="23" t="n"/>
      <c r="D3" s="23" t="n"/>
      <c r="E3" s="23" t="n"/>
      <c r="F3" s="23" t="n"/>
      <c r="G3" s="23" t="n"/>
      <c r="H3" s="23" t="n"/>
      <c r="I3" s="23" t="n"/>
      <c r="J3" s="13" t="inlineStr">
        <is>
          <t>交通＋原選桿</t>
        </is>
      </c>
      <c r="K3" s="28">
        <f>IFERROR(INDEX(K6:K31,MATCH(1,INDEX(ISNUMBER(L6:L31)*(L6:L31&gt;=1)*(NOT(ISNUMBER(M6:M31))+ISNUMBER(M6:M31)*(M6:M31&gt;=1)),0),0)),"&gt;40")</f>
        <v>23</v>
      </c>
    </row>
    <row r="4">
      <c r="A4" s="5" t="inlineStr">
        <is>
          <t>車種</t>
        </is>
      </c>
      <c r="B4" s="5" t="inlineStr">
        <is>
          <t>參考總重t</t>
        </is>
      </c>
      <c r="C4" s="5" t="inlineStr">
        <is>
          <t>軸組1</t>
        </is>
      </c>
      <c r="D4" s="5" t="inlineStr">
        <is>
          <t>比例1</t>
        </is>
      </c>
      <c r="E4" s="5" t="inlineStr">
        <is>
          <t>軸組2</t>
        </is>
      </c>
      <c r="F4" s="5" t="inlineStr">
        <is>
          <t>比例2</t>
        </is>
      </c>
      <c r="G4" s="5" t="inlineStr">
        <is>
          <t>軸組3</t>
        </is>
      </c>
      <c r="H4" s="5" t="inlineStr">
        <is>
          <t>比例3</t>
        </is>
      </c>
      <c r="I4" s="5" t="inlineStr">
        <is>
          <t>說明</t>
        </is>
      </c>
      <c r="J4" s="13" t="inlineStr">
        <is>
          <t>僅交通下限</t>
        </is>
      </c>
      <c r="K4" s="28">
        <f>IFERROR(INDEX(K6:K31,MATCH(1,INDEX(ISNUMBER(L6:L31)*(L6:L31&gt;=1),0),0)),"&gt;40")</f>
        <v>23</v>
      </c>
    </row>
    <row r="5">
      <c r="A5" s="7" t="inlineStr">
        <is>
          <t>2軸大貨車</t>
        </is>
      </c>
      <c r="B5" s="20" t="n">
        <v>15</v>
      </c>
      <c r="C5" s="13" t="inlineStr">
        <is>
          <t>單軸</t>
        </is>
      </c>
      <c r="D5" s="35" t="n">
        <v>0.35</v>
      </c>
      <c r="E5" s="13" t="inlineStr">
        <is>
          <t>單軸</t>
        </is>
      </c>
      <c r="F5" s="35" t="n">
        <v>0.65</v>
      </c>
      <c r="G5" s="13" t="inlineStr">
        <is>
          <t>無</t>
        </is>
      </c>
      <c r="H5" s="35" t="n">
        <v>0</v>
      </c>
      <c r="I5" s="13" t="inlineStr">
        <is>
          <t>前單軸＋後單軸（雙輪）</t>
        </is>
      </c>
      <c r="K5" s="5" t="inlineStr">
        <is>
          <t>h(cm)</t>
        </is>
      </c>
      <c r="L5" s="5" t="inlineStr">
        <is>
          <t>交通容量比</t>
        </is>
      </c>
      <c r="M5" s="5" t="inlineStr">
        <is>
          <t>傳力桿承壓比</t>
        </is>
      </c>
    </row>
    <row r="6">
      <c r="A6" s="7" t="inlineStr">
        <is>
          <t>3軸貨車（後雙軸）</t>
        </is>
      </c>
      <c r="B6" s="20" t="n">
        <v>26</v>
      </c>
      <c r="C6" s="13" t="inlineStr">
        <is>
          <t>單軸</t>
        </is>
      </c>
      <c r="D6" s="35" t="n">
        <v>0.25</v>
      </c>
      <c r="E6" s="13" t="inlineStr">
        <is>
          <t>雙軸</t>
        </is>
      </c>
      <c r="F6" s="35" t="n">
        <v>0.75</v>
      </c>
      <c r="G6" s="13" t="inlineStr">
        <is>
          <t>無</t>
        </is>
      </c>
      <c r="H6" s="35" t="n">
        <v>0</v>
      </c>
      <c r="I6" s="13" t="inlineStr">
        <is>
          <t>一般砂石車、混凝土車</t>
        </is>
      </c>
      <c r="K6" s="13" t="n">
        <v>15</v>
      </c>
      <c r="L6" s="24">
        <f>IF(計算!$E$22&lt;=0,"—",10^(計算!$H$5*計算!$H$6+7.35*LOG10(((K6)/2.54)+1)-0.06+LOG10((計算!$F$10-計算!$H$10)/3)/(1+1.624E7/(((K6)/2.54)+1)^8.46)+(4.22-0.32*計算!$H$10)*LOG10((計算!$F$8*14.223343307)*計算!$H$7*(((K6)/2.54)^0.75-1.132)/(215.63*計算!$F$7*(((K6)/2.54)^0.75-18.42/((計算!$H$8*14.223343307)/(計算!$F$6*36.127292))^0.25))))/(計算!$B$7*計算!$B$8*計算!$B$9*(IF(OR(計算!$C$19=0,計算!$B$19="無"),0,IF(計算!$B$19="雙前軸",MAX(2*10^(-(4.62*LOG10(19)-4.62*LOG10(((計算!$C$19/2)*2.2046226218)+1)+3.28*LOG10(1)+LOG10((4.5-計算!$H$10)/3)/(1+3.63*(((計算!$C$19/2)*2.2046226218)+1)^5.2/((((K6)/2.54)+1)^8.46*(1)^3.52))-LOG10((4.5-計算!$H$10)/3)/(1+3.63*(18+1)^5.2/((((K6)/2.54)+1)^8.46)))),10^(-(4.62*LOG10(19)-4.62*LOG10(((計算!$C$19)*2.2046226218)+2)+3.28*LOG10(2)+LOG10((4.5-計算!$H$10)/3)/(1+3.63*(((計算!$C$19)*2.2046226218)+2)^5.2/((((K6)/2.54)+1)^8.46*(2)^3.52))-LOG10((4.5-計算!$H$10)/3)/(1+3.63*(18+1)^5.2/((((K6)/2.54)+1)^8.46))))),10^(-(4.62*LOG10(19)-4.62*LOG10(((計算!$C$19)*2.2046226218)+MATCH(計算!$B$19,{"單軸","雙軸","三軸"},0))+3.28*LOG10(MATCH(計算!$B$19,{"單軸","雙軸","三軸"},0))+LOG10((4.5-計算!$H$10)/3)/(1+3.63*(((計算!$C$19)*2.2046226218)+MATCH(計算!$B$19,{"單軸","雙軸","三軸"},0))^5.2/((((K6)/2.54)+1)^8.46*(MATCH(計算!$B$19,{"單軸","雙軸","三軸"},0))^3.52))-LOG10((4.5-計算!$H$10)/3)/(1+3.63*(18+1)^5.2/((((K6)/2.54)+1)^8.46))))))+IF(OR(計算!$C$20=0,計算!$B$20="無"),0,IF(計算!$B$20="雙前軸",MAX(2*10^(-(4.62*LOG10(19)-4.62*LOG10(((計算!$C$20/2)*2.2046226218)+1)+3.28*LOG10(1)+LOG10((4.5-計算!$H$10)/3)/(1+3.63*(((計算!$C$20/2)*2.2046226218)+1)^5.2/((((K6)/2.54)+1)^8.46*(1)^3.52))-LOG10((4.5-計算!$H$10)/3)/(1+3.63*(18+1)^5.2/((((K6)/2.54)+1)^8.46)))),10^(-(4.62*LOG10(19)-4.62*LOG10(((計算!$C$20)*2.2046226218)+2)+3.28*LOG10(2)+LOG10((4.5-計算!$H$10)/3)/(1+3.63*(((計算!$C$20)*2.2046226218)+2)^5.2/((((K6)/2.54)+1)^8.46*(2)^3.52))-LOG10((4.5-計算!$H$10)/3)/(1+3.63*(18+1)^5.2/((((K6)/2.54)+1)^8.46))))),10^(-(4.62*LOG10(19)-4.62*LOG10(((計算!$C$20)*2.2046226218)+MATCH(計算!$B$20,{"單軸","雙軸","三軸"},0))+3.28*LOG10(MATCH(計算!$B$20,{"單軸","雙軸","三軸"},0))+LOG10((4.5-計算!$H$10)/3)/(1+3.63*(((計算!$C$20)*2.2046226218)+MATCH(計算!$B$20,{"單軸","雙軸","三軸"},0))^5.2/((((K6)/2.54)+1)^8.46*(MATCH(計算!$B$20,{"單軸","雙軸","三軸"},0))^3.52))-LOG10((4.5-計算!$H$10)/3)/(1+3.63*(18+1)^5.2/((((K6)/2.54)+1)^8.46))))))+IF(OR(計算!$C$21=0,計算!$B$21="無"),0,IF(計算!$B$21="雙前軸",MAX(2*10^(-(4.62*LOG10(19)-4.62*LOG10(((計算!$C$21/2)*2.2046226218)+1)+3.28*LOG10(1)+LOG10((4.5-計算!$H$10)/3)/(1+3.63*(((計算!$C$21/2)*2.2046226218)+1)^5.2/((((K6)/2.54)+1)^8.46*(1)^3.52))-LOG10((4.5-計算!$H$10)/3)/(1+3.63*(18+1)^5.2/((((K6)/2.54)+1)^8.46)))),10^(-(4.62*LOG10(19)-4.62*LOG10(((計算!$C$21)*2.2046226218)+2)+3.28*LOG10(2)+LOG10((4.5-計算!$H$10)/3)/(1+3.63*(((計算!$C$21)*2.2046226218)+2)^5.2/((((K6)/2.54)+1)^8.46*(2)^3.52))-LOG10((4.5-計算!$H$10)/3)/(1+3.63*(18+1)^5.2/((((K6)/2.54)+1)^8.46))))),10^(-(4.62*LOG10(19)-4.62*LOG10(((計算!$C$21)*2.2046226218)+MATCH(計算!$B$21,{"單軸","雙軸","三軸"},0))+3.28*LOG10(MATCH(計算!$B$21,{"單軸","雙軸","三軸"},0))+LOG10((4.5-計算!$H$10)/3)/(1+3.63*(((計算!$C$21)*2.2046226218)+MATCH(計算!$B$21,{"單軸","雙軸","三軸"},0))^5.2/((((K6)/2.54)+1)^8.46*(MATCH(計算!$B$21,{"單軸","雙軸","三軸"},0))^3.52))-LOG10((4.5-計算!$H$10)/3)/(1+3.63*(18+1)^5.2/((((K6)/2.54)+1)^8.46)))))))))</f>
        <v>0.108074762612205</v>
      </c>
      <c r="M6" s="24">
        <f>IF(計算!$F$12&lt;&gt;"有","不設",((4-(VLOOKUP(K6,$A$52:$D$55,2,TRUE)/10)/2.54)*計算!$F$9/3)/($B$69*(0.45*MAX(計算!$D$19:$D$21)/2*1000*(1-15/((計算!$H$8*K6^3/(12*(1-0.15^2)*計算!$F$6))^0.25))/SUMPRODUCT((1-{15,45,75,105,135,165}/((計算!$H$8*K6^3/(12*(1-0.15^2)*計算!$F$6))^0.25))*({15,45,75,105,135,165}&lt;((計算!$H$8*K6^3/(12*(1-0.15^2)*計算!$F$6))^0.25))))*(2+(($B$69*(VLOOKUP(K6,$A$52:$D$55,2,TRUE)/10)/(4*2040000*(PI()*(VLOOKUP(K6,$A$52:$D$55,2,TRUE)/10)^4/64)))^0.25)*0.3)/(4*(($B$69*(VLOOKUP(K6,$A$52:$D$55,2,TRUE)/10)/(4*2040000*(PI()*(VLOOKUP(K6,$A$52:$D$55,2,TRUE)/10)^4/64)))^0.25)^3*2040000*(PI()*(VLOOKUP(K6,$A$52:$D$55,2,TRUE)/10)^4/64))))</f>
        <v>0.445656740403847</v>
      </c>
    </row>
    <row r="7">
      <c r="A7" s="7" t="inlineStr">
        <is>
          <t>4軸貨車（雙前軸＋後雙軸）</t>
        </is>
      </c>
      <c r="B7" s="20" t="n">
        <v>35</v>
      </c>
      <c r="C7" s="13" t="inlineStr">
        <is>
          <t>雙前軸</t>
        </is>
      </c>
      <c r="D7" s="35" t="n">
        <v>0.2857142857142857</v>
      </c>
      <c r="E7" s="13" t="inlineStr">
        <is>
          <t>雙軸</t>
        </is>
      </c>
      <c r="F7" s="35" t="n">
        <v>0.7142857142857143</v>
      </c>
      <c r="G7" s="13" t="inlineStr">
        <is>
          <t>無</t>
        </is>
      </c>
      <c r="H7" s="35" t="n">
        <v>0</v>
      </c>
      <c r="I7" s="13" t="inlineStr">
        <is>
          <t>雙前軸＝兩單軸與一雙軸取大</t>
        </is>
      </c>
      <c r="K7" s="13" t="n">
        <v>16</v>
      </c>
      <c r="L7" s="24">
        <f>IF(計算!$E$22&lt;=0,"—",10^(計算!$H$5*計算!$H$6+7.35*LOG10(((K7)/2.54)+1)-0.06+LOG10((計算!$F$10-計算!$H$10)/3)/(1+1.624E7/(((K7)/2.54)+1)^8.46)+(4.22-0.32*計算!$H$10)*LOG10((計算!$F$8*14.223343307)*計算!$H$7*(((K7)/2.54)^0.75-1.132)/(215.63*計算!$F$7*(((K7)/2.54)^0.75-18.42/((計算!$H$8*14.223343307)/(計算!$F$6*36.127292))^0.25))))/(計算!$B$7*計算!$B$8*計算!$B$9*(IF(OR(計算!$C$19=0,計算!$B$19="無"),0,IF(計算!$B$19="雙前軸",MAX(2*10^(-(4.62*LOG10(19)-4.62*LOG10(((計算!$C$19/2)*2.2046226218)+1)+3.28*LOG10(1)+LOG10((4.5-計算!$H$10)/3)/(1+3.63*(((計算!$C$19/2)*2.2046226218)+1)^5.2/((((K7)/2.54)+1)^8.46*(1)^3.52))-LOG10((4.5-計算!$H$10)/3)/(1+3.63*(18+1)^5.2/((((K7)/2.54)+1)^8.46)))),10^(-(4.62*LOG10(19)-4.62*LOG10(((計算!$C$19)*2.2046226218)+2)+3.28*LOG10(2)+LOG10((4.5-計算!$H$10)/3)/(1+3.63*(((計算!$C$19)*2.2046226218)+2)^5.2/((((K7)/2.54)+1)^8.46*(2)^3.52))-LOG10((4.5-計算!$H$10)/3)/(1+3.63*(18+1)^5.2/((((K7)/2.54)+1)^8.46))))),10^(-(4.62*LOG10(19)-4.62*LOG10(((計算!$C$19)*2.2046226218)+MATCH(計算!$B$19,{"單軸","雙軸","三軸"},0))+3.28*LOG10(MATCH(計算!$B$19,{"單軸","雙軸","三軸"},0))+LOG10((4.5-計算!$H$10)/3)/(1+3.63*(((計算!$C$19)*2.2046226218)+MATCH(計算!$B$19,{"單軸","雙軸","三軸"},0))^5.2/((((K7)/2.54)+1)^8.46*(MATCH(計算!$B$19,{"單軸","雙軸","三軸"},0))^3.52))-LOG10((4.5-計算!$H$10)/3)/(1+3.63*(18+1)^5.2/((((K7)/2.54)+1)^8.46))))))+IF(OR(計算!$C$20=0,計算!$B$20="無"),0,IF(計算!$B$20="雙前軸",MAX(2*10^(-(4.62*LOG10(19)-4.62*LOG10(((計算!$C$20/2)*2.2046226218)+1)+3.28*LOG10(1)+LOG10((4.5-計算!$H$10)/3)/(1+3.63*(((計算!$C$20/2)*2.2046226218)+1)^5.2/((((K7)/2.54)+1)^8.46*(1)^3.52))-LOG10((4.5-計算!$H$10)/3)/(1+3.63*(18+1)^5.2/((((K7)/2.54)+1)^8.46)))),10^(-(4.62*LOG10(19)-4.62*LOG10(((計算!$C$20)*2.2046226218)+2)+3.28*LOG10(2)+LOG10((4.5-計算!$H$10)/3)/(1+3.63*(((計算!$C$20)*2.2046226218)+2)^5.2/((((K7)/2.54)+1)^8.46*(2)^3.52))-LOG10((4.5-計算!$H$10)/3)/(1+3.63*(18+1)^5.2/((((K7)/2.54)+1)^8.46))))),10^(-(4.62*LOG10(19)-4.62*LOG10(((計算!$C$20)*2.2046226218)+MATCH(計算!$B$20,{"單軸","雙軸","三軸"},0))+3.28*LOG10(MATCH(計算!$B$20,{"單軸","雙軸","三軸"},0))+LOG10((4.5-計算!$H$10)/3)/(1+3.63*(((計算!$C$20)*2.2046226218)+MATCH(計算!$B$20,{"單軸","雙軸","三軸"},0))^5.2/((((K7)/2.54)+1)^8.46*(MATCH(計算!$B$20,{"單軸","雙軸","三軸"},0))^3.52))-LOG10((4.5-計算!$H$10)/3)/(1+3.63*(18+1)^5.2/((((K7)/2.54)+1)^8.46))))))+IF(OR(計算!$C$21=0,計算!$B$21="無"),0,IF(計算!$B$21="雙前軸",MAX(2*10^(-(4.62*LOG10(19)-4.62*LOG10(((計算!$C$21/2)*2.2046226218)+1)+3.28*LOG10(1)+LOG10((4.5-計算!$H$10)/3)/(1+3.63*(((計算!$C$21/2)*2.2046226218)+1)^5.2/((((K7)/2.54)+1)^8.46*(1)^3.52))-LOG10((4.5-計算!$H$10)/3)/(1+3.63*(18+1)^5.2/((((K7)/2.54)+1)^8.46)))),10^(-(4.62*LOG10(19)-4.62*LOG10(((計算!$C$21)*2.2046226218)+2)+3.28*LOG10(2)+LOG10((4.5-計算!$H$10)/3)/(1+3.63*(((計算!$C$21)*2.2046226218)+2)^5.2/((((K7)/2.54)+1)^8.46*(2)^3.52))-LOG10((4.5-計算!$H$10)/3)/(1+3.63*(18+1)^5.2/((((K7)/2.54)+1)^8.46))))),10^(-(4.62*LOG10(19)-4.62*LOG10(((計算!$C$21)*2.2046226218)+MATCH(計算!$B$21,{"單軸","雙軸","三軸"},0))+3.28*LOG10(MATCH(計算!$B$21,{"單軸","雙軸","三軸"},0))+LOG10((4.5-計算!$H$10)/3)/(1+3.63*(((計算!$C$21)*2.2046226218)+MATCH(計算!$B$21,{"單軸","雙軸","三軸"},0))^5.2/((((K7)/2.54)+1)^8.46*(MATCH(計算!$B$21,{"單軸","雙軸","三軸"},0))^3.52))-LOG10((4.5-計算!$H$10)/3)/(1+3.63*(18+1)^5.2/((((K7)/2.54)+1)^8.46)))))))))</f>
        <v>0.155174171103234</v>
      </c>
      <c r="M7" s="24">
        <f>IF(計算!$F$12&lt;&gt;"有","不設",((4-(VLOOKUP(K7,$A$52:$D$55,2,TRUE)/10)/2.54)*計算!$F$9/3)/($B$69*(0.45*MAX(計算!$D$19:$D$21)/2*1000*(1-15/((計算!$H$8*K7^3/(12*(1-0.15^2)*計算!$F$6))^0.25))/SUMPRODUCT((1-{15,45,75,105,135,165}/((計算!$H$8*K7^3/(12*(1-0.15^2)*計算!$F$6))^0.25))*({15,45,75,105,135,165}&lt;((計算!$H$8*K7^3/(12*(1-0.15^2)*計算!$F$6))^0.25))))*(2+(($B$69*(VLOOKUP(K7,$A$52:$D$55,2,TRUE)/10)/(4*2040000*(PI()*(VLOOKUP(K7,$A$52:$D$55,2,TRUE)/10)^4/64)))^0.25)*0.3)/(4*(($B$69*(VLOOKUP(K7,$A$52:$D$55,2,TRUE)/10)/(4*2040000*(PI()*(VLOOKUP(K7,$A$52:$D$55,2,TRUE)/10)^4/64)))^0.25)^3*2040000*(PI()*(VLOOKUP(K7,$A$52:$D$55,2,TRUE)/10)^4/64))))</f>
        <v>0.457434526561135</v>
      </c>
    </row>
    <row r="8">
      <c r="A8" s="7" t="inlineStr">
        <is>
          <t>5軸聯結車</t>
        </is>
      </c>
      <c r="B8" s="20" t="n">
        <v>43</v>
      </c>
      <c r="C8" s="13" t="inlineStr">
        <is>
          <t>單軸</t>
        </is>
      </c>
      <c r="D8" s="35" t="n">
        <v>0.15</v>
      </c>
      <c r="E8" s="13" t="inlineStr">
        <is>
          <t>雙軸</t>
        </is>
      </c>
      <c r="F8" s="35" t="n">
        <v>0.425</v>
      </c>
      <c r="G8" s="13" t="inlineStr">
        <is>
          <t>雙軸</t>
        </is>
      </c>
      <c r="H8" s="35" t="n">
        <v>0.425</v>
      </c>
      <c r="I8" s="13" t="inlineStr">
        <is>
          <t>曳引車＋半拖車</t>
        </is>
      </c>
      <c r="K8" s="13" t="n">
        <v>17</v>
      </c>
      <c r="L8" s="24">
        <f>IF(計算!$E$22&lt;=0,"—",10^(計算!$H$5*計算!$H$6+7.35*LOG10(((K8)/2.54)+1)-0.06+LOG10((計算!$F$10-計算!$H$10)/3)/(1+1.624E7/(((K8)/2.54)+1)^8.46)+(4.22-0.32*計算!$H$10)*LOG10((計算!$F$8*14.223343307)*計算!$H$7*(((K8)/2.54)^0.75-1.132)/(215.63*計算!$F$7*(((K8)/2.54)^0.75-18.42/((計算!$H$8*14.223343307)/(計算!$F$6*36.127292))^0.25))))/(計算!$B$7*計算!$B$8*計算!$B$9*(IF(OR(計算!$C$19=0,計算!$B$19="無"),0,IF(計算!$B$19="雙前軸",MAX(2*10^(-(4.62*LOG10(19)-4.62*LOG10(((計算!$C$19/2)*2.2046226218)+1)+3.28*LOG10(1)+LOG10((4.5-計算!$H$10)/3)/(1+3.63*(((計算!$C$19/2)*2.2046226218)+1)^5.2/((((K8)/2.54)+1)^8.46*(1)^3.52))-LOG10((4.5-計算!$H$10)/3)/(1+3.63*(18+1)^5.2/((((K8)/2.54)+1)^8.46)))),10^(-(4.62*LOG10(19)-4.62*LOG10(((計算!$C$19)*2.2046226218)+2)+3.28*LOG10(2)+LOG10((4.5-計算!$H$10)/3)/(1+3.63*(((計算!$C$19)*2.2046226218)+2)^5.2/((((K8)/2.54)+1)^8.46*(2)^3.52))-LOG10((4.5-計算!$H$10)/3)/(1+3.63*(18+1)^5.2/((((K8)/2.54)+1)^8.46))))),10^(-(4.62*LOG10(19)-4.62*LOG10(((計算!$C$19)*2.2046226218)+MATCH(計算!$B$19,{"單軸","雙軸","三軸"},0))+3.28*LOG10(MATCH(計算!$B$19,{"單軸","雙軸","三軸"},0))+LOG10((4.5-計算!$H$10)/3)/(1+3.63*(((計算!$C$19)*2.2046226218)+MATCH(計算!$B$19,{"單軸","雙軸","三軸"},0))^5.2/((((K8)/2.54)+1)^8.46*(MATCH(計算!$B$19,{"單軸","雙軸","三軸"},0))^3.52))-LOG10((4.5-計算!$H$10)/3)/(1+3.63*(18+1)^5.2/((((K8)/2.54)+1)^8.46))))))+IF(OR(計算!$C$20=0,計算!$B$20="無"),0,IF(計算!$B$20="雙前軸",MAX(2*10^(-(4.62*LOG10(19)-4.62*LOG10(((計算!$C$20/2)*2.2046226218)+1)+3.28*LOG10(1)+LOG10((4.5-計算!$H$10)/3)/(1+3.63*(((計算!$C$20/2)*2.2046226218)+1)^5.2/((((K8)/2.54)+1)^8.46*(1)^3.52))-LOG10((4.5-計算!$H$10)/3)/(1+3.63*(18+1)^5.2/((((K8)/2.54)+1)^8.46)))),10^(-(4.62*LOG10(19)-4.62*LOG10(((計算!$C$20)*2.2046226218)+2)+3.28*LOG10(2)+LOG10((4.5-計算!$H$10)/3)/(1+3.63*(((計算!$C$20)*2.2046226218)+2)^5.2/((((K8)/2.54)+1)^8.46*(2)^3.52))-LOG10((4.5-計算!$H$10)/3)/(1+3.63*(18+1)^5.2/((((K8)/2.54)+1)^8.46))))),10^(-(4.62*LOG10(19)-4.62*LOG10(((計算!$C$20)*2.2046226218)+MATCH(計算!$B$20,{"單軸","雙軸","三軸"},0))+3.28*LOG10(MATCH(計算!$B$20,{"單軸","雙軸","三軸"},0))+LOG10((4.5-計算!$H$10)/3)/(1+3.63*(((計算!$C$20)*2.2046226218)+MATCH(計算!$B$20,{"單軸","雙軸","三軸"},0))^5.2/((((K8)/2.54)+1)^8.46*(MATCH(計算!$B$20,{"單軸","雙軸","三軸"},0))^3.52))-LOG10((4.5-計算!$H$10)/3)/(1+3.63*(18+1)^5.2/((((K8)/2.54)+1)^8.46))))))+IF(OR(計算!$C$21=0,計算!$B$21="無"),0,IF(計算!$B$21="雙前軸",MAX(2*10^(-(4.62*LOG10(19)-4.62*LOG10(((計算!$C$21/2)*2.2046226218)+1)+3.28*LOG10(1)+LOG10((4.5-計算!$H$10)/3)/(1+3.63*(((計算!$C$21/2)*2.2046226218)+1)^5.2/((((K8)/2.54)+1)^8.46*(1)^3.52))-LOG10((4.5-計算!$H$10)/3)/(1+3.63*(18+1)^5.2/((((K8)/2.54)+1)^8.46)))),10^(-(4.62*LOG10(19)-4.62*LOG10(((計算!$C$21)*2.2046226218)+2)+3.28*LOG10(2)+LOG10((4.5-計算!$H$10)/3)/(1+3.63*(((計算!$C$21)*2.2046226218)+2)^5.2/((((K8)/2.54)+1)^8.46*(2)^3.52))-LOG10((4.5-計算!$H$10)/3)/(1+3.63*(18+1)^5.2/((((K8)/2.54)+1)^8.46))))),10^(-(4.62*LOG10(19)-4.62*LOG10(((計算!$C$21)*2.2046226218)+MATCH(計算!$B$21,{"單軸","雙軸","三軸"},0))+3.28*LOG10(MATCH(計算!$B$21,{"單軸","雙軸","三軸"},0))+LOG10((4.5-計算!$H$10)/3)/(1+3.63*(((計算!$C$21)*2.2046226218)+MATCH(計算!$B$21,{"單軸","雙軸","三軸"},0))^5.2/((((K8)/2.54)+1)^8.46*(MATCH(計算!$B$21,{"單軸","雙軸","三軸"},0))^3.52))-LOG10((4.5-計算!$H$10)/3)/(1+3.63*(18+1)^5.2/((((K8)/2.54)+1)^8.46)))))))))</f>
        <v>0.218903997501572</v>
      </c>
      <c r="M8" s="24">
        <f>IF(計算!$F$12&lt;&gt;"有","不設",((4-(VLOOKUP(K8,$A$52:$D$55,2,TRUE)/10)/2.54)*計算!$F$9/3)/($B$69*(0.45*MAX(計算!$D$19:$D$21)/2*1000*(1-15/((計算!$H$8*K8^3/(12*(1-0.15^2)*計算!$F$6))^0.25))/SUMPRODUCT((1-{15,45,75,105,135,165}/((計算!$H$8*K8^3/(12*(1-0.15^2)*計算!$F$6))^0.25))*({15,45,75,105,135,165}&lt;((計算!$H$8*K8^3/(12*(1-0.15^2)*計算!$F$6))^0.25))))*(2+(($B$69*(VLOOKUP(K8,$A$52:$D$55,2,TRUE)/10)/(4*2040000*(PI()*(VLOOKUP(K8,$A$52:$D$55,2,TRUE)/10)^4/64)))^0.25)*0.3)/(4*(($B$69*(VLOOKUP(K8,$A$52:$D$55,2,TRUE)/10)/(4*2040000*(PI()*(VLOOKUP(K8,$A$52:$D$55,2,TRUE)/10)^4/64)))^0.25)^3*2040000*(PI()*(VLOOKUP(K8,$A$52:$D$55,2,TRUE)/10)^4/64))))</f>
        <v>0.707715057329567</v>
      </c>
    </row>
    <row r="9">
      <c r="A9" s="7" t="inlineStr">
        <is>
          <t>自訂</t>
        </is>
      </c>
      <c r="B9" s="20" t="n">
        <v>20</v>
      </c>
      <c r="C9" s="13" t="inlineStr">
        <is>
          <t>單軸</t>
        </is>
      </c>
      <c r="D9" s="35" t="n">
        <v>0.3</v>
      </c>
      <c r="E9" s="13" t="inlineStr">
        <is>
          <t>雙軸</t>
        </is>
      </c>
      <c r="F9" s="35" t="n">
        <v>0.7</v>
      </c>
      <c r="G9" s="13" t="inlineStr">
        <is>
          <t>無</t>
        </is>
      </c>
      <c r="H9" s="35" t="n">
        <v>0</v>
      </c>
      <c r="I9" s="13" t="inlineStr">
        <is>
          <t>自行修改本列</t>
        </is>
      </c>
      <c r="K9" s="13" t="n">
        <v>18</v>
      </c>
      <c r="L9" s="24">
        <f>IF(計算!$E$22&lt;=0,"—",10^(計算!$H$5*計算!$H$6+7.35*LOG10(((K9)/2.54)+1)-0.06+LOG10((計算!$F$10-計算!$H$10)/3)/(1+1.624E7/(((K9)/2.54)+1)^8.46)+(4.22-0.32*計算!$H$10)*LOG10((計算!$F$8*14.223343307)*計算!$H$7*(((K9)/2.54)^0.75-1.132)/(215.63*計算!$F$7*(((K9)/2.54)^0.75-18.42/((計算!$H$8*14.223343307)/(計算!$F$6*36.127292))^0.25))))/(計算!$B$7*計算!$B$8*計算!$B$9*(IF(OR(計算!$C$19=0,計算!$B$19="無"),0,IF(計算!$B$19="雙前軸",MAX(2*10^(-(4.62*LOG10(19)-4.62*LOG10(((計算!$C$19/2)*2.2046226218)+1)+3.28*LOG10(1)+LOG10((4.5-計算!$H$10)/3)/(1+3.63*(((計算!$C$19/2)*2.2046226218)+1)^5.2/((((K9)/2.54)+1)^8.46*(1)^3.52))-LOG10((4.5-計算!$H$10)/3)/(1+3.63*(18+1)^5.2/((((K9)/2.54)+1)^8.46)))),10^(-(4.62*LOG10(19)-4.62*LOG10(((計算!$C$19)*2.2046226218)+2)+3.28*LOG10(2)+LOG10((4.5-計算!$H$10)/3)/(1+3.63*(((計算!$C$19)*2.2046226218)+2)^5.2/((((K9)/2.54)+1)^8.46*(2)^3.52))-LOG10((4.5-計算!$H$10)/3)/(1+3.63*(18+1)^5.2/((((K9)/2.54)+1)^8.46))))),10^(-(4.62*LOG10(19)-4.62*LOG10(((計算!$C$19)*2.2046226218)+MATCH(計算!$B$19,{"單軸","雙軸","三軸"},0))+3.28*LOG10(MATCH(計算!$B$19,{"單軸","雙軸","三軸"},0))+LOG10((4.5-計算!$H$10)/3)/(1+3.63*(((計算!$C$19)*2.2046226218)+MATCH(計算!$B$19,{"單軸","雙軸","三軸"},0))^5.2/((((K9)/2.54)+1)^8.46*(MATCH(計算!$B$19,{"單軸","雙軸","三軸"},0))^3.52))-LOG10((4.5-計算!$H$10)/3)/(1+3.63*(18+1)^5.2/((((K9)/2.54)+1)^8.46))))))+IF(OR(計算!$C$20=0,計算!$B$20="無"),0,IF(計算!$B$20="雙前軸",MAX(2*10^(-(4.62*LOG10(19)-4.62*LOG10(((計算!$C$20/2)*2.2046226218)+1)+3.28*LOG10(1)+LOG10((4.5-計算!$H$10)/3)/(1+3.63*(((計算!$C$20/2)*2.2046226218)+1)^5.2/((((K9)/2.54)+1)^8.46*(1)^3.52))-LOG10((4.5-計算!$H$10)/3)/(1+3.63*(18+1)^5.2/((((K9)/2.54)+1)^8.46)))),10^(-(4.62*LOG10(19)-4.62*LOG10(((計算!$C$20)*2.2046226218)+2)+3.28*LOG10(2)+LOG10((4.5-計算!$H$10)/3)/(1+3.63*(((計算!$C$20)*2.2046226218)+2)^5.2/((((K9)/2.54)+1)^8.46*(2)^3.52))-LOG10((4.5-計算!$H$10)/3)/(1+3.63*(18+1)^5.2/((((K9)/2.54)+1)^8.46))))),10^(-(4.62*LOG10(19)-4.62*LOG10(((計算!$C$20)*2.2046226218)+MATCH(計算!$B$20,{"單軸","雙軸","三軸"},0))+3.28*LOG10(MATCH(計算!$B$20,{"單軸","雙軸","三軸"},0))+LOG10((4.5-計算!$H$10)/3)/(1+3.63*(((計算!$C$20)*2.2046226218)+MATCH(計算!$B$20,{"單軸","雙軸","三軸"},0))^5.2/((((K9)/2.54)+1)^8.46*(MATCH(計算!$B$20,{"單軸","雙軸","三軸"},0))^3.52))-LOG10((4.5-計算!$H$10)/3)/(1+3.63*(18+1)^5.2/((((K9)/2.54)+1)^8.46))))))+IF(OR(計算!$C$21=0,計算!$B$21="無"),0,IF(計算!$B$21="雙前軸",MAX(2*10^(-(4.62*LOG10(19)-4.62*LOG10(((計算!$C$21/2)*2.2046226218)+1)+3.28*LOG10(1)+LOG10((4.5-計算!$H$10)/3)/(1+3.63*(((計算!$C$21/2)*2.2046226218)+1)^5.2/((((K9)/2.54)+1)^8.46*(1)^3.52))-LOG10((4.5-計算!$H$10)/3)/(1+3.63*(18+1)^5.2/((((K9)/2.54)+1)^8.46)))),10^(-(4.62*LOG10(19)-4.62*LOG10(((計算!$C$21)*2.2046226218)+2)+3.28*LOG10(2)+LOG10((4.5-計算!$H$10)/3)/(1+3.63*(((計算!$C$21)*2.2046226218)+2)^5.2/((((K9)/2.54)+1)^8.46*(2)^3.52))-LOG10((4.5-計算!$H$10)/3)/(1+3.63*(18+1)^5.2/((((K9)/2.54)+1)^8.46))))),10^(-(4.62*LOG10(19)-4.62*LOG10(((計算!$C$21)*2.2046226218)+MATCH(計算!$B$21,{"單軸","雙軸","三軸"},0))+3.28*LOG10(MATCH(計算!$B$21,{"單軸","雙軸","三軸"},0))+LOG10((4.5-計算!$H$10)/3)/(1+3.63*(((計算!$C$21)*2.2046226218)+MATCH(計算!$B$21,{"單軸","雙軸","三軸"},0))^5.2/((((K9)/2.54)+1)^8.46*(MATCH(計算!$B$21,{"單軸","雙軸","三軸"},0))^3.52))-LOG10((4.5-計算!$H$10)/3)/(1+3.63*(18+1)^5.2/((((K9)/2.54)+1)^8.46)))))))))</f>
        <v>0.303670872909304</v>
      </c>
      <c r="M9" s="24">
        <f>IF(計算!$F$12&lt;&gt;"有","不設",((4-(VLOOKUP(K9,$A$52:$D$55,2,TRUE)/10)/2.54)*計算!$F$9/3)/($B$69*(0.45*MAX(計算!$D$19:$D$21)/2*1000*(1-15/((計算!$H$8*K9^3/(12*(1-0.15^2)*計算!$F$6))^0.25))/SUMPRODUCT((1-{15,45,75,105,135,165}/((計算!$H$8*K9^3/(12*(1-0.15^2)*計算!$F$6))^0.25))*({15,45,75,105,135,165}&lt;((計算!$H$8*K9^3/(12*(1-0.15^2)*計算!$F$6))^0.25))))*(2+(($B$69*(VLOOKUP(K9,$A$52:$D$55,2,TRUE)/10)/(4*2040000*(PI()*(VLOOKUP(K9,$A$52:$D$55,2,TRUE)/10)^4/64)))^0.25)*0.3)/(4*(($B$69*(VLOOKUP(K9,$A$52:$D$55,2,TRUE)/10)/(4*2040000*(PI()*(VLOOKUP(K9,$A$52:$D$55,2,TRUE)/10)^4/64)))^0.25)^3*2040000*(PI()*(VLOOKUP(K9,$A$52:$D$55,2,TRUE)/10)^4/64))))</f>
        <v>0.721412817039299</v>
      </c>
    </row>
    <row r="10">
      <c r="A10" s="4" t="inlineStr">
        <is>
          <t>依據：TxDOT 0-6850-1 式3.4~3.6 依軸組型式（單軸 m=1、雙軸 m=2、三軸 m=3）計算當量；比例為本表建議值。</t>
        </is>
      </c>
      <c r="K10" s="13" t="n">
        <v>19</v>
      </c>
      <c r="L10" s="24">
        <f>IF(計算!$E$22&lt;=0,"—",10^(計算!$H$5*計算!$H$6+7.35*LOG10(((K10)/2.54)+1)-0.06+LOG10((計算!$F$10-計算!$H$10)/3)/(1+1.624E7/(((K10)/2.54)+1)^8.46)+(4.22-0.32*計算!$H$10)*LOG10((計算!$F$8*14.223343307)*計算!$H$7*(((K10)/2.54)^0.75-1.132)/(215.63*計算!$F$7*(((K10)/2.54)^0.75-18.42/((計算!$H$8*14.223343307)/(計算!$F$6*36.127292))^0.25))))/(計算!$B$7*計算!$B$8*計算!$B$9*(IF(OR(計算!$C$19=0,計算!$B$19="無"),0,IF(計算!$B$19="雙前軸",MAX(2*10^(-(4.62*LOG10(19)-4.62*LOG10(((計算!$C$19/2)*2.2046226218)+1)+3.28*LOG10(1)+LOG10((4.5-計算!$H$10)/3)/(1+3.63*(((計算!$C$19/2)*2.2046226218)+1)^5.2/((((K10)/2.54)+1)^8.46*(1)^3.52))-LOG10((4.5-計算!$H$10)/3)/(1+3.63*(18+1)^5.2/((((K10)/2.54)+1)^8.46)))),10^(-(4.62*LOG10(19)-4.62*LOG10(((計算!$C$19)*2.2046226218)+2)+3.28*LOG10(2)+LOG10((4.5-計算!$H$10)/3)/(1+3.63*(((計算!$C$19)*2.2046226218)+2)^5.2/((((K10)/2.54)+1)^8.46*(2)^3.52))-LOG10((4.5-計算!$H$10)/3)/(1+3.63*(18+1)^5.2/((((K10)/2.54)+1)^8.46))))),10^(-(4.62*LOG10(19)-4.62*LOG10(((計算!$C$19)*2.2046226218)+MATCH(計算!$B$19,{"單軸","雙軸","三軸"},0))+3.28*LOG10(MATCH(計算!$B$19,{"單軸","雙軸","三軸"},0))+LOG10((4.5-計算!$H$10)/3)/(1+3.63*(((計算!$C$19)*2.2046226218)+MATCH(計算!$B$19,{"單軸","雙軸","三軸"},0))^5.2/((((K10)/2.54)+1)^8.46*(MATCH(計算!$B$19,{"單軸","雙軸","三軸"},0))^3.52))-LOG10((4.5-計算!$H$10)/3)/(1+3.63*(18+1)^5.2/((((K10)/2.54)+1)^8.46))))))+IF(OR(計算!$C$20=0,計算!$B$20="無"),0,IF(計算!$B$20="雙前軸",MAX(2*10^(-(4.62*LOG10(19)-4.62*LOG10(((計算!$C$20/2)*2.2046226218)+1)+3.28*LOG10(1)+LOG10((4.5-計算!$H$10)/3)/(1+3.63*(((計算!$C$20/2)*2.2046226218)+1)^5.2/((((K10)/2.54)+1)^8.46*(1)^3.52))-LOG10((4.5-計算!$H$10)/3)/(1+3.63*(18+1)^5.2/((((K10)/2.54)+1)^8.46)))),10^(-(4.62*LOG10(19)-4.62*LOG10(((計算!$C$20)*2.2046226218)+2)+3.28*LOG10(2)+LOG10((4.5-計算!$H$10)/3)/(1+3.63*(((計算!$C$20)*2.2046226218)+2)^5.2/((((K10)/2.54)+1)^8.46*(2)^3.52))-LOG10((4.5-計算!$H$10)/3)/(1+3.63*(18+1)^5.2/((((K10)/2.54)+1)^8.46))))),10^(-(4.62*LOG10(19)-4.62*LOG10(((計算!$C$20)*2.2046226218)+MATCH(計算!$B$20,{"單軸","雙軸","三軸"},0))+3.28*LOG10(MATCH(計算!$B$20,{"單軸","雙軸","三軸"},0))+LOG10((4.5-計算!$H$10)/3)/(1+3.63*(((計算!$C$20)*2.2046226218)+MATCH(計算!$B$20,{"單軸","雙軸","三軸"},0))^5.2/((((K10)/2.54)+1)^8.46*(MATCH(計算!$B$20,{"單軸","雙軸","三軸"},0))^3.52))-LOG10((4.5-計算!$H$10)/3)/(1+3.63*(18+1)^5.2/((((K10)/2.54)+1)^8.46))))))+IF(OR(計算!$C$21=0,計算!$B$21="無"),0,IF(計算!$B$21="雙前軸",MAX(2*10^(-(4.62*LOG10(19)-4.62*LOG10(((計算!$C$21/2)*2.2046226218)+1)+3.28*LOG10(1)+LOG10((4.5-計算!$H$10)/3)/(1+3.63*(((計算!$C$21/2)*2.2046226218)+1)^5.2/((((K10)/2.54)+1)^8.46*(1)^3.52))-LOG10((4.5-計算!$H$10)/3)/(1+3.63*(18+1)^5.2/((((K10)/2.54)+1)^8.46)))),10^(-(4.62*LOG10(19)-4.62*LOG10(((計算!$C$21)*2.2046226218)+2)+3.28*LOG10(2)+LOG10((4.5-計算!$H$10)/3)/(1+3.63*(((計算!$C$21)*2.2046226218)+2)^5.2/((((K10)/2.54)+1)^8.46*(2)^3.52))-LOG10((4.5-計算!$H$10)/3)/(1+3.63*(18+1)^5.2/((((K10)/2.54)+1)^8.46))))),10^(-(4.62*LOG10(19)-4.62*LOG10(((計算!$C$21)*2.2046226218)+MATCH(計算!$B$21,{"單軸","雙軸","三軸"},0))+3.28*LOG10(MATCH(計算!$B$21,{"單軸","雙軸","三軸"},0))+LOG10((4.5-計算!$H$10)/3)/(1+3.63*(((計算!$C$21)*2.2046226218)+MATCH(計算!$B$21,{"單軸","雙軸","三軸"},0))^5.2/((((K10)/2.54)+1)^8.46*(MATCH(計算!$B$21,{"單軸","雙軸","三軸"},0))^3.52))-LOG10((4.5-計算!$H$10)/3)/(1+3.63*(18+1)^5.2/((((K10)/2.54)+1)^8.46)))))))))</f>
        <v>0.414466080429003</v>
      </c>
      <c r="M10" s="24">
        <f>IF(計算!$F$12&lt;&gt;"有","不設",((4-(VLOOKUP(K10,$A$52:$D$55,2,TRUE)/10)/2.54)*計算!$F$9/3)/($B$69*(0.45*MAX(計算!$D$19:$D$21)/2*1000*(1-15/((計算!$H$8*K10^3/(12*(1-0.15^2)*計算!$F$6))^0.25))/SUMPRODUCT((1-{15,45,75,105,135,165}/((計算!$H$8*K10^3/(12*(1-0.15^2)*計算!$F$6))^0.25))*({15,45,75,105,135,165}&lt;((計算!$H$8*K10^3/(12*(1-0.15^2)*計算!$F$6))^0.25))))*(2+(($B$69*(VLOOKUP(K10,$A$52:$D$55,2,TRUE)/10)/(4*2040000*(PI()*(VLOOKUP(K10,$A$52:$D$55,2,TRUE)/10)^4/64)))^0.25)*0.3)/(4*(($B$69*(VLOOKUP(K10,$A$52:$D$55,2,TRUE)/10)/(4*2040000*(PI()*(VLOOKUP(K10,$A$52:$D$55,2,TRUE)/10)^4/64)))^0.25)^3*2040000*(PI()*(VLOOKUP(K10,$A$52:$D$55,2,TRUE)/10)^4/64))))</f>
        <v>0.74890540457124</v>
      </c>
    </row>
    <row r="11">
      <c r="A11" s="22" t="inlineStr">
        <is>
          <t>表2　道路類別與可靠度 R</t>
        </is>
      </c>
      <c r="B11" s="23" t="n"/>
      <c r="C11" s="23" t="n"/>
      <c r="D11" s="23" t="n"/>
      <c r="E11" s="23" t="n"/>
      <c r="F11" s="23" t="n"/>
      <c r="G11" s="23" t="n"/>
      <c r="H11" s="23" t="n"/>
      <c r="I11" s="23" t="n"/>
      <c r="K11" s="13" t="n">
        <v>20</v>
      </c>
      <c r="L11" s="24">
        <f>IF(計算!$E$22&lt;=0,"—",10^(計算!$H$5*計算!$H$6+7.35*LOG10(((K11)/2.54)+1)-0.06+LOG10((計算!$F$10-計算!$H$10)/3)/(1+1.624E7/(((K11)/2.54)+1)^8.46)+(4.22-0.32*計算!$H$10)*LOG10((計算!$F$8*14.223343307)*計算!$H$7*(((K11)/2.54)^0.75-1.132)/(215.63*計算!$F$7*(((K11)/2.54)^0.75-18.42/((計算!$H$8*14.223343307)/(計算!$F$6*36.127292))^0.25))))/(計算!$B$7*計算!$B$8*計算!$B$9*(IF(OR(計算!$C$19=0,計算!$B$19="無"),0,IF(計算!$B$19="雙前軸",MAX(2*10^(-(4.62*LOG10(19)-4.62*LOG10(((計算!$C$19/2)*2.2046226218)+1)+3.28*LOG10(1)+LOG10((4.5-計算!$H$10)/3)/(1+3.63*(((計算!$C$19/2)*2.2046226218)+1)^5.2/((((K11)/2.54)+1)^8.46*(1)^3.52))-LOG10((4.5-計算!$H$10)/3)/(1+3.63*(18+1)^5.2/((((K11)/2.54)+1)^8.46)))),10^(-(4.62*LOG10(19)-4.62*LOG10(((計算!$C$19)*2.2046226218)+2)+3.28*LOG10(2)+LOG10((4.5-計算!$H$10)/3)/(1+3.63*(((計算!$C$19)*2.2046226218)+2)^5.2/((((K11)/2.54)+1)^8.46*(2)^3.52))-LOG10((4.5-計算!$H$10)/3)/(1+3.63*(18+1)^5.2/((((K11)/2.54)+1)^8.46))))),10^(-(4.62*LOG10(19)-4.62*LOG10(((計算!$C$19)*2.2046226218)+MATCH(計算!$B$19,{"單軸","雙軸","三軸"},0))+3.28*LOG10(MATCH(計算!$B$19,{"單軸","雙軸","三軸"},0))+LOG10((4.5-計算!$H$10)/3)/(1+3.63*(((計算!$C$19)*2.2046226218)+MATCH(計算!$B$19,{"單軸","雙軸","三軸"},0))^5.2/((((K11)/2.54)+1)^8.46*(MATCH(計算!$B$19,{"單軸","雙軸","三軸"},0))^3.52))-LOG10((4.5-計算!$H$10)/3)/(1+3.63*(18+1)^5.2/((((K11)/2.54)+1)^8.46))))))+IF(OR(計算!$C$20=0,計算!$B$20="無"),0,IF(計算!$B$20="雙前軸",MAX(2*10^(-(4.62*LOG10(19)-4.62*LOG10(((計算!$C$20/2)*2.2046226218)+1)+3.28*LOG10(1)+LOG10((4.5-計算!$H$10)/3)/(1+3.63*(((計算!$C$20/2)*2.2046226218)+1)^5.2/((((K11)/2.54)+1)^8.46*(1)^3.52))-LOG10((4.5-計算!$H$10)/3)/(1+3.63*(18+1)^5.2/((((K11)/2.54)+1)^8.46)))),10^(-(4.62*LOG10(19)-4.62*LOG10(((計算!$C$20)*2.2046226218)+2)+3.28*LOG10(2)+LOG10((4.5-計算!$H$10)/3)/(1+3.63*(((計算!$C$20)*2.2046226218)+2)^5.2/((((K11)/2.54)+1)^8.46*(2)^3.52))-LOG10((4.5-計算!$H$10)/3)/(1+3.63*(18+1)^5.2/((((K11)/2.54)+1)^8.46))))),10^(-(4.62*LOG10(19)-4.62*LOG10(((計算!$C$20)*2.2046226218)+MATCH(計算!$B$20,{"單軸","雙軸","三軸"},0))+3.28*LOG10(MATCH(計算!$B$20,{"單軸","雙軸","三軸"},0))+LOG10((4.5-計算!$H$10)/3)/(1+3.63*(((計算!$C$20)*2.2046226218)+MATCH(計算!$B$20,{"單軸","雙軸","三軸"},0))^5.2/((((K11)/2.54)+1)^8.46*(MATCH(計算!$B$20,{"單軸","雙軸","三軸"},0))^3.52))-LOG10((4.5-計算!$H$10)/3)/(1+3.63*(18+1)^5.2/((((K11)/2.54)+1)^8.46))))))+IF(OR(計算!$C$21=0,計算!$B$21="無"),0,IF(計算!$B$21="雙前軸",MAX(2*10^(-(4.62*LOG10(19)-4.62*LOG10(((計算!$C$21/2)*2.2046226218)+1)+3.28*LOG10(1)+LOG10((4.5-計算!$H$10)/3)/(1+3.63*(((計算!$C$21/2)*2.2046226218)+1)^5.2/((((K11)/2.54)+1)^8.46*(1)^3.52))-LOG10((4.5-計算!$H$10)/3)/(1+3.63*(18+1)^5.2/((((K11)/2.54)+1)^8.46)))),10^(-(4.62*LOG10(19)-4.62*LOG10(((計算!$C$21)*2.2046226218)+2)+3.28*LOG10(2)+LOG10((4.5-計算!$H$10)/3)/(1+3.63*(((計算!$C$21)*2.2046226218)+2)^5.2/((((K11)/2.54)+1)^8.46*(2)^3.52))-LOG10((4.5-計算!$H$10)/3)/(1+3.63*(18+1)^5.2/((((K11)/2.54)+1)^8.46))))),10^(-(4.62*LOG10(19)-4.62*LOG10(((計算!$C$21)*2.2046226218)+MATCH(計算!$B$21,{"單軸","雙軸","三軸"},0))+3.28*LOG10(MATCH(計算!$B$21,{"單軸","雙軸","三軸"},0))+LOG10((4.5-計算!$H$10)/3)/(1+3.63*(((計算!$C$21)*2.2046226218)+MATCH(計算!$B$21,{"單軸","雙軸","三軸"},0))^5.2/((((K11)/2.54)+1)^8.46*(MATCH(計算!$B$21,{"單軸","雙軸","三軸"},0))^3.52))-LOG10((4.5-計算!$H$10)/3)/(1+3.63*(18+1)^5.2/((((K11)/2.54)+1)^8.46)))))))))</f>
        <v>0.556750417299388</v>
      </c>
      <c r="M11" s="24">
        <f>IF(計算!$F$12&lt;&gt;"有","不設",((4-(VLOOKUP(K11,$A$52:$D$55,2,TRUE)/10)/2.54)*計算!$F$9/3)/($B$69*(0.45*MAX(計算!$D$19:$D$21)/2*1000*(1-15/((計算!$H$8*K11^3/(12*(1-0.15^2)*計算!$F$6))^0.25))/SUMPRODUCT((1-{15,45,75,105,135,165}/((計算!$H$8*K11^3/(12*(1-0.15^2)*計算!$F$6))^0.25))*({15,45,75,105,135,165}&lt;((計算!$H$8*K11^3/(12*(1-0.15^2)*計算!$F$6))^0.25))))*(2+(($B$69*(VLOOKUP(K11,$A$52:$D$55,2,TRUE)/10)/(4*2040000*(PI()*(VLOOKUP(K11,$A$52:$D$55,2,TRUE)/10)^4/64)))^0.25)*0.3)/(4*(($B$69*(VLOOKUP(K11,$A$52:$D$55,2,TRUE)/10)/(4*2040000*(PI()*(VLOOKUP(K11,$A$52:$D$55,2,TRUE)/10)^4/64)))^0.25)^3*2040000*(PI()*(VLOOKUP(K11,$A$52:$D$55,2,TRUE)/10)^4/64))))</f>
        <v>0.781557023776477</v>
      </c>
    </row>
    <row r="12">
      <c r="A12" s="5" t="inlineStr">
        <is>
          <t>道路類別</t>
        </is>
      </c>
      <c r="B12" s="5" t="inlineStr">
        <is>
          <t>AASHTO建議</t>
        </is>
      </c>
      <c r="C12" s="5" t="inlineStr">
        <is>
          <t>採用R</t>
        </is>
      </c>
      <c r="D12" s="5" t="inlineStr"/>
      <c r="E12" s="5" t="inlineStr"/>
      <c r="F12" s="5" t="inlineStr"/>
      <c r="G12" s="5" t="inlineStr"/>
      <c r="H12" s="5" t="inlineStr"/>
      <c r="I12" s="5" t="inlineStr">
        <is>
          <t>說明</t>
        </is>
      </c>
      <c r="K12" s="13" t="n">
        <v>21</v>
      </c>
      <c r="L12" s="24">
        <f>IF(計算!$E$22&lt;=0,"—",10^(計算!$H$5*計算!$H$6+7.35*LOG10(((K12)/2.54)+1)-0.06+LOG10((計算!$F$10-計算!$H$10)/3)/(1+1.624E7/(((K12)/2.54)+1)^8.46)+(4.22-0.32*計算!$H$10)*LOG10((計算!$F$8*14.223343307)*計算!$H$7*(((K12)/2.54)^0.75-1.132)/(215.63*計算!$F$7*(((K12)/2.54)^0.75-18.42/((計算!$H$8*14.223343307)/(計算!$F$6*36.127292))^0.25))))/(計算!$B$7*計算!$B$8*計算!$B$9*(IF(OR(計算!$C$19=0,計算!$B$19="無"),0,IF(計算!$B$19="雙前軸",MAX(2*10^(-(4.62*LOG10(19)-4.62*LOG10(((計算!$C$19/2)*2.2046226218)+1)+3.28*LOG10(1)+LOG10((4.5-計算!$H$10)/3)/(1+3.63*(((計算!$C$19/2)*2.2046226218)+1)^5.2/((((K12)/2.54)+1)^8.46*(1)^3.52))-LOG10((4.5-計算!$H$10)/3)/(1+3.63*(18+1)^5.2/((((K12)/2.54)+1)^8.46)))),10^(-(4.62*LOG10(19)-4.62*LOG10(((計算!$C$19)*2.2046226218)+2)+3.28*LOG10(2)+LOG10((4.5-計算!$H$10)/3)/(1+3.63*(((計算!$C$19)*2.2046226218)+2)^5.2/((((K12)/2.54)+1)^8.46*(2)^3.52))-LOG10((4.5-計算!$H$10)/3)/(1+3.63*(18+1)^5.2/((((K12)/2.54)+1)^8.46))))),10^(-(4.62*LOG10(19)-4.62*LOG10(((計算!$C$19)*2.2046226218)+MATCH(計算!$B$19,{"單軸","雙軸","三軸"},0))+3.28*LOG10(MATCH(計算!$B$19,{"單軸","雙軸","三軸"},0))+LOG10((4.5-計算!$H$10)/3)/(1+3.63*(((計算!$C$19)*2.2046226218)+MATCH(計算!$B$19,{"單軸","雙軸","三軸"},0))^5.2/((((K12)/2.54)+1)^8.46*(MATCH(計算!$B$19,{"單軸","雙軸","三軸"},0))^3.52))-LOG10((4.5-計算!$H$10)/3)/(1+3.63*(18+1)^5.2/((((K12)/2.54)+1)^8.46))))))+IF(OR(計算!$C$20=0,計算!$B$20="無"),0,IF(計算!$B$20="雙前軸",MAX(2*10^(-(4.62*LOG10(19)-4.62*LOG10(((計算!$C$20/2)*2.2046226218)+1)+3.28*LOG10(1)+LOG10((4.5-計算!$H$10)/3)/(1+3.63*(((計算!$C$20/2)*2.2046226218)+1)^5.2/((((K12)/2.54)+1)^8.46*(1)^3.52))-LOG10((4.5-計算!$H$10)/3)/(1+3.63*(18+1)^5.2/((((K12)/2.54)+1)^8.46)))),10^(-(4.62*LOG10(19)-4.62*LOG10(((計算!$C$20)*2.2046226218)+2)+3.28*LOG10(2)+LOG10((4.5-計算!$H$10)/3)/(1+3.63*(((計算!$C$20)*2.2046226218)+2)^5.2/((((K12)/2.54)+1)^8.46*(2)^3.52))-LOG10((4.5-計算!$H$10)/3)/(1+3.63*(18+1)^5.2/((((K12)/2.54)+1)^8.46))))),10^(-(4.62*LOG10(19)-4.62*LOG10(((計算!$C$20)*2.2046226218)+MATCH(計算!$B$20,{"單軸","雙軸","三軸"},0))+3.28*LOG10(MATCH(計算!$B$20,{"單軸","雙軸","三軸"},0))+LOG10((4.5-計算!$H$10)/3)/(1+3.63*(((計算!$C$20)*2.2046226218)+MATCH(計算!$B$20,{"單軸","雙軸","三軸"},0))^5.2/((((K12)/2.54)+1)^8.46*(MATCH(計算!$B$20,{"單軸","雙軸","三軸"},0))^3.52))-LOG10((4.5-計算!$H$10)/3)/(1+3.63*(18+1)^5.2/((((K12)/2.54)+1)^8.46))))))+IF(OR(計算!$C$21=0,計算!$B$21="無"),0,IF(計算!$B$21="雙前軸",MAX(2*10^(-(4.62*LOG10(19)-4.62*LOG10(((計算!$C$21/2)*2.2046226218)+1)+3.28*LOG10(1)+LOG10((4.5-計算!$H$10)/3)/(1+3.63*(((計算!$C$21/2)*2.2046226218)+1)^5.2/((((K12)/2.54)+1)^8.46*(1)^3.52))-LOG10((4.5-計算!$H$10)/3)/(1+3.63*(18+1)^5.2/((((K12)/2.54)+1)^8.46)))),10^(-(4.62*LOG10(19)-4.62*LOG10(((計算!$C$21)*2.2046226218)+2)+3.28*LOG10(2)+LOG10((4.5-計算!$H$10)/3)/(1+3.63*(((計算!$C$21)*2.2046226218)+2)^5.2/((((K12)/2.54)+1)^8.46*(2)^3.52))-LOG10((4.5-計算!$H$10)/3)/(1+3.63*(18+1)^5.2/((((K12)/2.54)+1)^8.46))))),10^(-(4.62*LOG10(19)-4.62*LOG10(((計算!$C$21)*2.2046226218)+MATCH(計算!$B$21,{"單軸","雙軸","三軸"},0))+3.28*LOG10(MATCH(計算!$B$21,{"單軸","雙軸","三軸"},0))+LOG10((4.5-計算!$H$10)/3)/(1+3.63*(((計算!$C$21)*2.2046226218)+MATCH(計算!$B$21,{"單軸","雙軸","三軸"},0))^5.2/((((K12)/2.54)+1)^8.46*(MATCH(計算!$B$21,{"單軸","雙軸","三軸"},0))^3.52))-LOG10((4.5-計算!$H$10)/3)/(1+3.63*(18+1)^5.2/((((K12)/2.54)+1)^8.46)))))))))</f>
        <v>0.736383264977969</v>
      </c>
      <c r="M12" s="24">
        <f>IF(計算!$F$12&lt;&gt;"有","不設",((4-(VLOOKUP(K12,$A$52:$D$55,2,TRUE)/10)/2.54)*計算!$F$9/3)/($B$69*(0.45*MAX(計算!$D$19:$D$21)/2*1000*(1-15/((計算!$H$8*K12^3/(12*(1-0.15^2)*計算!$F$6))^0.25))/SUMPRODUCT((1-{15,45,75,105,135,165}/((計算!$H$8*K12^3/(12*(1-0.15^2)*計算!$F$6))^0.25))*({15,45,75,105,135,165}&lt;((計算!$H$8*K12^3/(12*(1-0.15^2)*計算!$F$6))^0.25))))*(2+(($B$69*(VLOOKUP(K12,$A$52:$D$55,2,TRUE)/10)/(4*2040000*(PI()*(VLOOKUP(K12,$A$52:$D$55,2,TRUE)/10)^4/64)))^0.25)*0.3)/(4*(($B$69*(VLOOKUP(K12,$A$52:$D$55,2,TRUE)/10)/(4*2040000*(PI()*(VLOOKUP(K12,$A$52:$D$55,2,TRUE)/10)^4/64)))^0.25)^3*2040000*(PI()*(VLOOKUP(K12,$A$52:$D$55,2,TRUE)/10)^4/64))))</f>
        <v>0.810956338610076</v>
      </c>
    </row>
    <row r="13">
      <c r="A13" s="7" t="inlineStr">
        <is>
          <t>廠區／私人道路</t>
        </is>
      </c>
      <c r="B13" s="13" t="inlineStr">
        <is>
          <t>50–80%</t>
        </is>
      </c>
      <c r="C13" s="10" t="n">
        <v>0.8</v>
      </c>
      <c r="D13" s="13" t="inlineStr"/>
      <c r="E13" s="13" t="inlineStr"/>
      <c r="F13" s="13" t="inlineStr"/>
      <c r="G13" s="13" t="inlineStr"/>
      <c r="H13" s="13" t="inlineStr"/>
      <c r="I13" s="13" t="inlineStr">
        <is>
          <t>比照地方道路上限</t>
        </is>
      </c>
      <c r="K13" s="13" t="n">
        <v>22</v>
      </c>
      <c r="L13" s="24">
        <f>IF(計算!$E$22&lt;=0,"—",10^(計算!$H$5*計算!$H$6+7.35*LOG10(((K13)/2.54)+1)-0.06+LOG10((計算!$F$10-計算!$H$10)/3)/(1+1.624E7/(((K13)/2.54)+1)^8.46)+(4.22-0.32*計算!$H$10)*LOG10((計算!$F$8*14.223343307)*計算!$H$7*(((K13)/2.54)^0.75-1.132)/(215.63*計算!$F$7*(((K13)/2.54)^0.75-18.42/((計算!$H$8*14.223343307)/(計算!$F$6*36.127292))^0.25))))/(計算!$B$7*計算!$B$8*計算!$B$9*(IF(OR(計算!$C$19=0,計算!$B$19="無"),0,IF(計算!$B$19="雙前軸",MAX(2*10^(-(4.62*LOG10(19)-4.62*LOG10(((計算!$C$19/2)*2.2046226218)+1)+3.28*LOG10(1)+LOG10((4.5-計算!$H$10)/3)/(1+3.63*(((計算!$C$19/2)*2.2046226218)+1)^5.2/((((K13)/2.54)+1)^8.46*(1)^3.52))-LOG10((4.5-計算!$H$10)/3)/(1+3.63*(18+1)^5.2/((((K13)/2.54)+1)^8.46)))),10^(-(4.62*LOG10(19)-4.62*LOG10(((計算!$C$19)*2.2046226218)+2)+3.28*LOG10(2)+LOG10((4.5-計算!$H$10)/3)/(1+3.63*(((計算!$C$19)*2.2046226218)+2)^5.2/((((K13)/2.54)+1)^8.46*(2)^3.52))-LOG10((4.5-計算!$H$10)/3)/(1+3.63*(18+1)^5.2/((((K13)/2.54)+1)^8.46))))),10^(-(4.62*LOG10(19)-4.62*LOG10(((計算!$C$19)*2.2046226218)+MATCH(計算!$B$19,{"單軸","雙軸","三軸"},0))+3.28*LOG10(MATCH(計算!$B$19,{"單軸","雙軸","三軸"},0))+LOG10((4.5-計算!$H$10)/3)/(1+3.63*(((計算!$C$19)*2.2046226218)+MATCH(計算!$B$19,{"單軸","雙軸","三軸"},0))^5.2/((((K13)/2.54)+1)^8.46*(MATCH(計算!$B$19,{"單軸","雙軸","三軸"},0))^3.52))-LOG10((4.5-計算!$H$10)/3)/(1+3.63*(18+1)^5.2/((((K13)/2.54)+1)^8.46))))))+IF(OR(計算!$C$20=0,計算!$B$20="無"),0,IF(計算!$B$20="雙前軸",MAX(2*10^(-(4.62*LOG10(19)-4.62*LOG10(((計算!$C$20/2)*2.2046226218)+1)+3.28*LOG10(1)+LOG10((4.5-計算!$H$10)/3)/(1+3.63*(((計算!$C$20/2)*2.2046226218)+1)^5.2/((((K13)/2.54)+1)^8.46*(1)^3.52))-LOG10((4.5-計算!$H$10)/3)/(1+3.63*(18+1)^5.2/((((K13)/2.54)+1)^8.46)))),10^(-(4.62*LOG10(19)-4.62*LOG10(((計算!$C$20)*2.2046226218)+2)+3.28*LOG10(2)+LOG10((4.5-計算!$H$10)/3)/(1+3.63*(((計算!$C$20)*2.2046226218)+2)^5.2/((((K13)/2.54)+1)^8.46*(2)^3.52))-LOG10((4.5-計算!$H$10)/3)/(1+3.63*(18+1)^5.2/((((K13)/2.54)+1)^8.46))))),10^(-(4.62*LOG10(19)-4.62*LOG10(((計算!$C$20)*2.2046226218)+MATCH(計算!$B$20,{"單軸","雙軸","三軸"},0))+3.28*LOG10(MATCH(計算!$B$20,{"單軸","雙軸","三軸"},0))+LOG10((4.5-計算!$H$10)/3)/(1+3.63*(((計算!$C$20)*2.2046226218)+MATCH(計算!$B$20,{"單軸","雙軸","三軸"},0))^5.2/((((K13)/2.54)+1)^8.46*(MATCH(計算!$B$20,{"單軸","雙軸","三軸"},0))^3.52))-LOG10((4.5-計算!$H$10)/3)/(1+3.63*(18+1)^5.2/((((K13)/2.54)+1)^8.46))))))+IF(OR(計算!$C$21=0,計算!$B$21="無"),0,IF(計算!$B$21="雙前軸",MAX(2*10^(-(4.62*LOG10(19)-4.62*LOG10(((計算!$C$21/2)*2.2046226218)+1)+3.28*LOG10(1)+LOG10((4.5-計算!$H$10)/3)/(1+3.63*(((計算!$C$21/2)*2.2046226218)+1)^5.2/((((K13)/2.54)+1)^8.46*(1)^3.52))-LOG10((4.5-計算!$H$10)/3)/(1+3.63*(18+1)^5.2/((((K13)/2.54)+1)^8.46)))),10^(-(4.62*LOG10(19)-4.62*LOG10(((計算!$C$21)*2.2046226218)+2)+3.28*LOG10(2)+LOG10((4.5-計算!$H$10)/3)/(1+3.63*(((計算!$C$21)*2.2046226218)+2)^5.2/((((K13)/2.54)+1)^8.46*(2)^3.52))-LOG10((4.5-計算!$H$10)/3)/(1+3.63*(18+1)^5.2/((((K13)/2.54)+1)^8.46))))),10^(-(4.62*LOG10(19)-4.62*LOG10(((計算!$C$21)*2.2046226218)+MATCH(計算!$B$21,{"單軸","雙軸","三軸"},0))+3.28*LOG10(MATCH(計算!$B$21,{"單軸","雙軸","三軸"},0))+LOG10((4.5-計算!$H$10)/3)/(1+3.63*(((計算!$C$21)*2.2046226218)+MATCH(計算!$B$21,{"單軸","雙軸","三軸"},0))^5.2/((((K13)/2.54)+1)^8.46*(MATCH(計算!$B$21,{"單軸","雙軸","三軸"},0))^3.52))-LOG10((4.5-計算!$H$10)/3)/(1+3.63*(18+1)^5.2/((((K13)/2.54)+1)^8.46)))))))))</f>
        <v>0.959705642359491</v>
      </c>
      <c r="M13" s="24">
        <f>IF(計算!$F$12&lt;&gt;"有","不設",((4-(VLOOKUP(K13,$A$52:$D$55,2,TRUE)/10)/2.54)*計算!$F$9/3)/($B$69*(0.45*MAX(計算!$D$19:$D$21)/2*1000*(1-15/((計算!$H$8*K13^3/(12*(1-0.15^2)*計算!$F$6))^0.25))/SUMPRODUCT((1-{15,45,75,105,135,165}/((計算!$H$8*K13^3/(12*(1-0.15^2)*計算!$F$6))^0.25))*({15,45,75,105,135,165}&lt;((計算!$H$8*K13^3/(12*(1-0.15^2)*計算!$F$6))^0.25))))*(2+(($B$69*(VLOOKUP(K13,$A$52:$D$55,2,TRUE)/10)/(4*2040000*(PI()*(VLOOKUP(K13,$A$52:$D$55,2,TRUE)/10)^4/64)))^0.25)*0.3)/(4*(($B$69*(VLOOKUP(K13,$A$52:$D$55,2,TRUE)/10)/(4*2040000*(PI()*(VLOOKUP(K13,$A$52:$D$55,2,TRUE)/10)^4/64)))^0.25)^3*2040000*(PI()*(VLOOKUP(K13,$A$52:$D$55,2,TRUE)/10)^4/64))))</f>
        <v>1.18045038495965</v>
      </c>
    </row>
    <row r="14">
      <c r="A14" s="7" t="inlineStr">
        <is>
          <t>地方道路</t>
        </is>
      </c>
      <c r="B14" s="13" t="inlineStr">
        <is>
          <t>50–80%</t>
        </is>
      </c>
      <c r="C14" s="10" t="n">
        <v>0.8</v>
      </c>
      <c r="D14" s="13" t="inlineStr"/>
      <c r="E14" s="13" t="inlineStr"/>
      <c r="F14" s="13" t="inlineStr"/>
      <c r="G14" s="13" t="inlineStr"/>
      <c r="H14" s="13" t="inlineStr"/>
      <c r="I14" s="13" t="inlineStr"/>
      <c r="K14" s="13" t="n">
        <v>23</v>
      </c>
      <c r="L14" s="24">
        <f>IF(計算!$E$22&lt;=0,"—",10^(計算!$H$5*計算!$H$6+7.35*LOG10(((K14)/2.54)+1)-0.06+LOG10((計算!$F$10-計算!$H$10)/3)/(1+1.624E7/(((K14)/2.54)+1)^8.46)+(4.22-0.32*計算!$H$10)*LOG10((計算!$F$8*14.223343307)*計算!$H$7*(((K14)/2.54)^0.75-1.132)/(215.63*計算!$F$7*(((K14)/2.54)^0.75-18.42/((計算!$H$8*14.223343307)/(計算!$F$6*36.127292))^0.25))))/(計算!$B$7*計算!$B$8*計算!$B$9*(IF(OR(計算!$C$19=0,計算!$B$19="無"),0,IF(計算!$B$19="雙前軸",MAX(2*10^(-(4.62*LOG10(19)-4.62*LOG10(((計算!$C$19/2)*2.2046226218)+1)+3.28*LOG10(1)+LOG10((4.5-計算!$H$10)/3)/(1+3.63*(((計算!$C$19/2)*2.2046226218)+1)^5.2/((((K14)/2.54)+1)^8.46*(1)^3.52))-LOG10((4.5-計算!$H$10)/3)/(1+3.63*(18+1)^5.2/((((K14)/2.54)+1)^8.46)))),10^(-(4.62*LOG10(19)-4.62*LOG10(((計算!$C$19)*2.2046226218)+2)+3.28*LOG10(2)+LOG10((4.5-計算!$H$10)/3)/(1+3.63*(((計算!$C$19)*2.2046226218)+2)^5.2/((((K14)/2.54)+1)^8.46*(2)^3.52))-LOG10((4.5-計算!$H$10)/3)/(1+3.63*(18+1)^5.2/((((K14)/2.54)+1)^8.46))))),10^(-(4.62*LOG10(19)-4.62*LOG10(((計算!$C$19)*2.2046226218)+MATCH(計算!$B$19,{"單軸","雙軸","三軸"},0))+3.28*LOG10(MATCH(計算!$B$19,{"單軸","雙軸","三軸"},0))+LOG10((4.5-計算!$H$10)/3)/(1+3.63*(((計算!$C$19)*2.2046226218)+MATCH(計算!$B$19,{"單軸","雙軸","三軸"},0))^5.2/((((K14)/2.54)+1)^8.46*(MATCH(計算!$B$19,{"單軸","雙軸","三軸"},0))^3.52))-LOG10((4.5-計算!$H$10)/3)/(1+3.63*(18+1)^5.2/((((K14)/2.54)+1)^8.46))))))+IF(OR(計算!$C$20=0,計算!$B$20="無"),0,IF(計算!$B$20="雙前軸",MAX(2*10^(-(4.62*LOG10(19)-4.62*LOG10(((計算!$C$20/2)*2.2046226218)+1)+3.28*LOG10(1)+LOG10((4.5-計算!$H$10)/3)/(1+3.63*(((計算!$C$20/2)*2.2046226218)+1)^5.2/((((K14)/2.54)+1)^8.46*(1)^3.52))-LOG10((4.5-計算!$H$10)/3)/(1+3.63*(18+1)^5.2/((((K14)/2.54)+1)^8.46)))),10^(-(4.62*LOG10(19)-4.62*LOG10(((計算!$C$20)*2.2046226218)+2)+3.28*LOG10(2)+LOG10((4.5-計算!$H$10)/3)/(1+3.63*(((計算!$C$20)*2.2046226218)+2)^5.2/((((K14)/2.54)+1)^8.46*(2)^3.52))-LOG10((4.5-計算!$H$10)/3)/(1+3.63*(18+1)^5.2/((((K14)/2.54)+1)^8.46))))),10^(-(4.62*LOG10(19)-4.62*LOG10(((計算!$C$20)*2.2046226218)+MATCH(計算!$B$20,{"單軸","雙軸","三軸"},0))+3.28*LOG10(MATCH(計算!$B$20,{"單軸","雙軸","三軸"},0))+LOG10((4.5-計算!$H$10)/3)/(1+3.63*(((計算!$C$20)*2.2046226218)+MATCH(計算!$B$20,{"單軸","雙軸","三軸"},0))^5.2/((((K14)/2.54)+1)^8.46*(MATCH(計算!$B$20,{"單軸","雙軸","三軸"},0))^3.52))-LOG10((4.5-計算!$H$10)/3)/(1+3.63*(18+1)^5.2/((((K14)/2.54)+1)^8.46))))))+IF(OR(計算!$C$21=0,計算!$B$21="無"),0,IF(計算!$B$21="雙前軸",MAX(2*10^(-(4.62*LOG10(19)-4.62*LOG10(((計算!$C$21/2)*2.2046226218)+1)+3.28*LOG10(1)+LOG10((4.5-計算!$H$10)/3)/(1+3.63*(((計算!$C$21/2)*2.2046226218)+1)^5.2/((((K14)/2.54)+1)^8.46*(1)^3.52))-LOG10((4.5-計算!$H$10)/3)/(1+3.63*(18+1)^5.2/((((K14)/2.54)+1)^8.46)))),10^(-(4.62*LOG10(19)-4.62*LOG10(((計算!$C$21)*2.2046226218)+2)+3.28*LOG10(2)+LOG10((4.5-計算!$H$10)/3)/(1+3.63*(((計算!$C$21)*2.2046226218)+2)^5.2/((((K14)/2.54)+1)^8.46*(2)^3.52))-LOG10((4.5-計算!$H$10)/3)/(1+3.63*(18+1)^5.2/((((K14)/2.54)+1)^8.46))))),10^(-(4.62*LOG10(19)-4.62*LOG10(((計算!$C$21)*2.2046226218)+MATCH(計算!$B$21,{"單軸","雙軸","三軸"},0))+3.28*LOG10(MATCH(計算!$B$21,{"單軸","雙軸","三軸"},0))+LOG10((4.5-計算!$H$10)/3)/(1+3.63*(((計算!$C$21)*2.2046226218)+MATCH(計算!$B$21,{"單軸","雙軸","三軸"},0))^5.2/((((K14)/2.54)+1)^8.46*(MATCH(計算!$B$21,{"單軸","雙軸","三軸"},0))^3.52))-LOG10((4.5-計算!$H$10)/3)/(1+3.63*(18+1)^5.2/((((K14)/2.54)+1)^8.46)))))))))</f>
        <v>1.23387981302987</v>
      </c>
      <c r="M14" s="24">
        <f>IF(計算!$F$12&lt;&gt;"有","不設",((4-(VLOOKUP(K14,$A$52:$D$55,2,TRUE)/10)/2.54)*計算!$F$9/3)/($B$69*(0.45*MAX(計算!$D$19:$D$21)/2*1000*(1-15/((計算!$H$8*K14^3/(12*(1-0.15^2)*計算!$F$6))^0.25))/SUMPRODUCT((1-{15,45,75,105,135,165}/((計算!$H$8*K14^3/(12*(1-0.15^2)*計算!$F$6))^0.25))*({15,45,75,105,135,165}&lt;((計算!$H$8*K14^3/(12*(1-0.15^2)*計算!$F$6))^0.25))))*(2+(($B$69*(VLOOKUP(K14,$A$52:$D$55,2,TRUE)/10)/(4*2040000*(PI()*(VLOOKUP(K14,$A$52:$D$55,2,TRUE)/10)^4/64)))^0.25)*0.3)/(4*(($B$69*(VLOOKUP(K14,$A$52:$D$55,2,TRUE)/10)/(4*2040000*(PI()*(VLOOKUP(K14,$A$52:$D$55,2,TRUE)/10)^4/64)))^0.25)^3*2040000*(PI()*(VLOOKUP(K14,$A$52:$D$55,2,TRUE)/10)^4/64))))</f>
        <v>1.21460391746104</v>
      </c>
    </row>
    <row r="15">
      <c r="A15" s="7" t="inlineStr">
        <is>
          <t>集散道路</t>
        </is>
      </c>
      <c r="B15" s="13" t="inlineStr">
        <is>
          <t>75–95%</t>
        </is>
      </c>
      <c r="C15" s="10" t="n">
        <v>0.85</v>
      </c>
      <c r="D15" s="13" t="inlineStr"/>
      <c r="E15" s="13" t="inlineStr"/>
      <c r="F15" s="13" t="inlineStr"/>
      <c r="G15" s="13" t="inlineStr"/>
      <c r="H15" s="13" t="inlineStr"/>
      <c r="I15" s="13" t="inlineStr"/>
      <c r="K15" s="13" t="n">
        <v>24</v>
      </c>
      <c r="L15" s="24">
        <f>IF(計算!$E$22&lt;=0,"—",10^(計算!$H$5*計算!$H$6+7.35*LOG10(((K15)/2.54)+1)-0.06+LOG10((計算!$F$10-計算!$H$10)/3)/(1+1.624E7/(((K15)/2.54)+1)^8.46)+(4.22-0.32*計算!$H$10)*LOG10((計算!$F$8*14.223343307)*計算!$H$7*(((K15)/2.54)^0.75-1.132)/(215.63*計算!$F$7*(((K15)/2.54)^0.75-18.42/((計算!$H$8*14.223343307)/(計算!$F$6*36.127292))^0.25))))/(計算!$B$7*計算!$B$8*計算!$B$9*(IF(OR(計算!$C$19=0,計算!$B$19="無"),0,IF(計算!$B$19="雙前軸",MAX(2*10^(-(4.62*LOG10(19)-4.62*LOG10(((計算!$C$19/2)*2.2046226218)+1)+3.28*LOG10(1)+LOG10((4.5-計算!$H$10)/3)/(1+3.63*(((計算!$C$19/2)*2.2046226218)+1)^5.2/((((K15)/2.54)+1)^8.46*(1)^3.52))-LOG10((4.5-計算!$H$10)/3)/(1+3.63*(18+1)^5.2/((((K15)/2.54)+1)^8.46)))),10^(-(4.62*LOG10(19)-4.62*LOG10(((計算!$C$19)*2.2046226218)+2)+3.28*LOG10(2)+LOG10((4.5-計算!$H$10)/3)/(1+3.63*(((計算!$C$19)*2.2046226218)+2)^5.2/((((K15)/2.54)+1)^8.46*(2)^3.52))-LOG10((4.5-計算!$H$10)/3)/(1+3.63*(18+1)^5.2/((((K15)/2.54)+1)^8.46))))),10^(-(4.62*LOG10(19)-4.62*LOG10(((計算!$C$19)*2.2046226218)+MATCH(計算!$B$19,{"單軸","雙軸","三軸"},0))+3.28*LOG10(MATCH(計算!$B$19,{"單軸","雙軸","三軸"},0))+LOG10((4.5-計算!$H$10)/3)/(1+3.63*(((計算!$C$19)*2.2046226218)+MATCH(計算!$B$19,{"單軸","雙軸","三軸"},0))^5.2/((((K15)/2.54)+1)^8.46*(MATCH(計算!$B$19,{"單軸","雙軸","三軸"},0))^3.52))-LOG10((4.5-計算!$H$10)/3)/(1+3.63*(18+1)^5.2/((((K15)/2.54)+1)^8.46))))))+IF(OR(計算!$C$20=0,計算!$B$20="無"),0,IF(計算!$B$20="雙前軸",MAX(2*10^(-(4.62*LOG10(19)-4.62*LOG10(((計算!$C$20/2)*2.2046226218)+1)+3.28*LOG10(1)+LOG10((4.5-計算!$H$10)/3)/(1+3.63*(((計算!$C$20/2)*2.2046226218)+1)^5.2/((((K15)/2.54)+1)^8.46*(1)^3.52))-LOG10((4.5-計算!$H$10)/3)/(1+3.63*(18+1)^5.2/((((K15)/2.54)+1)^8.46)))),10^(-(4.62*LOG10(19)-4.62*LOG10(((計算!$C$20)*2.2046226218)+2)+3.28*LOG10(2)+LOG10((4.5-計算!$H$10)/3)/(1+3.63*(((計算!$C$20)*2.2046226218)+2)^5.2/((((K15)/2.54)+1)^8.46*(2)^3.52))-LOG10((4.5-計算!$H$10)/3)/(1+3.63*(18+1)^5.2/((((K15)/2.54)+1)^8.46))))),10^(-(4.62*LOG10(19)-4.62*LOG10(((計算!$C$20)*2.2046226218)+MATCH(計算!$B$20,{"單軸","雙軸","三軸"},0))+3.28*LOG10(MATCH(計算!$B$20,{"單軸","雙軸","三軸"},0))+LOG10((4.5-計算!$H$10)/3)/(1+3.63*(((計算!$C$20)*2.2046226218)+MATCH(計算!$B$20,{"單軸","雙軸","三軸"},0))^5.2/((((K15)/2.54)+1)^8.46*(MATCH(計算!$B$20,{"單軸","雙軸","三軸"},0))^3.52))-LOG10((4.5-計算!$H$10)/3)/(1+3.63*(18+1)^5.2/((((K15)/2.54)+1)^8.46))))))+IF(OR(計算!$C$21=0,計算!$B$21="無"),0,IF(計算!$B$21="雙前軸",MAX(2*10^(-(4.62*LOG10(19)-4.62*LOG10(((計算!$C$21/2)*2.2046226218)+1)+3.28*LOG10(1)+LOG10((4.5-計算!$H$10)/3)/(1+3.63*(((計算!$C$21/2)*2.2046226218)+1)^5.2/((((K15)/2.54)+1)^8.46*(1)^3.52))-LOG10((4.5-計算!$H$10)/3)/(1+3.63*(18+1)^5.2/((((K15)/2.54)+1)^8.46)))),10^(-(4.62*LOG10(19)-4.62*LOG10(((計算!$C$21)*2.2046226218)+2)+3.28*LOG10(2)+LOG10((4.5-計算!$H$10)/3)/(1+3.63*(((計算!$C$21)*2.2046226218)+2)^5.2/((((K15)/2.54)+1)^8.46*(2)^3.52))-LOG10((4.5-計算!$H$10)/3)/(1+3.63*(18+1)^5.2/((((K15)/2.54)+1)^8.46))))),10^(-(4.62*LOG10(19)-4.62*LOG10(((計算!$C$21)*2.2046226218)+MATCH(計算!$B$21,{"單軸","雙軸","三軸"},0))+3.28*LOG10(MATCH(計算!$B$21,{"單軸","雙軸","三軸"},0))+LOG10((4.5-計算!$H$10)/3)/(1+3.63*(((計算!$C$21)*2.2046226218)+MATCH(計算!$B$21,{"單軸","雙軸","三軸"},0))^5.2/((((K15)/2.54)+1)^8.46*(MATCH(計算!$B$21,{"單軸","雙軸","三軸"},0))^3.52))-LOG10((4.5-計算!$H$10)/3)/(1+3.63*(18+1)^5.2/((((K15)/2.54)+1)^8.46)))))))))</f>
        <v>1.56750705311687</v>
      </c>
      <c r="M15" s="24">
        <f>IF(計算!$F$12&lt;&gt;"有","不設",((4-(VLOOKUP(K15,$A$52:$D$55,2,TRUE)/10)/2.54)*計算!$F$9/3)/($B$69*(0.45*MAX(計算!$D$19:$D$21)/2*1000*(1-15/((計算!$H$8*K15^3/(12*(1-0.15^2)*計算!$F$6))^0.25))/SUMPRODUCT((1-{15,45,75,105,135,165}/((計算!$H$8*K15^3/(12*(1-0.15^2)*計算!$F$6))^0.25))*({15,45,75,105,135,165}&lt;((計算!$H$8*K15^3/(12*(1-0.15^2)*計算!$F$6))^0.25))))*(2+(($B$69*(VLOOKUP(K15,$A$52:$D$55,2,TRUE)/10)/(4*2040000*(PI()*(VLOOKUP(K15,$A$52:$D$55,2,TRUE)/10)^4/64)))^0.25)*0.3)/(4*(($B$69*(VLOOKUP(K15,$A$52:$D$55,2,TRUE)/10)/(4*2040000*(PI()*(VLOOKUP(K15,$A$52:$D$55,2,TRUE)/10)^4/64)))^0.25)^3*2040000*(PI()*(VLOOKUP(K15,$A$52:$D$55,2,TRUE)/10)^4/64))))</f>
        <v>1.24583639061216</v>
      </c>
    </row>
    <row r="16">
      <c r="A16" s="7" t="inlineStr">
        <is>
          <t>主要幹道</t>
        </is>
      </c>
      <c r="B16" s="13" t="inlineStr">
        <is>
          <t>75–99%</t>
        </is>
      </c>
      <c r="C16" s="10" t="n">
        <v>0.9</v>
      </c>
      <c r="D16" s="13" t="inlineStr"/>
      <c r="E16" s="13" t="inlineStr"/>
      <c r="F16" s="13" t="inlineStr"/>
      <c r="G16" s="13" t="inlineStr"/>
      <c r="H16" s="13" t="inlineStr"/>
      <c r="I16" s="13" t="inlineStr"/>
      <c r="K16" s="13" t="n">
        <v>25</v>
      </c>
      <c r="L16" s="24">
        <f>IF(計算!$E$22&lt;=0,"—",10^(計算!$H$5*計算!$H$6+7.35*LOG10(((K16)/2.54)+1)-0.06+LOG10((計算!$F$10-計算!$H$10)/3)/(1+1.624E7/(((K16)/2.54)+1)^8.46)+(4.22-0.32*計算!$H$10)*LOG10((計算!$F$8*14.223343307)*計算!$H$7*(((K16)/2.54)^0.75-1.132)/(215.63*計算!$F$7*(((K16)/2.54)^0.75-18.42/((計算!$H$8*14.223343307)/(計算!$F$6*36.127292))^0.25))))/(計算!$B$7*計算!$B$8*計算!$B$9*(IF(OR(計算!$C$19=0,計算!$B$19="無"),0,IF(計算!$B$19="雙前軸",MAX(2*10^(-(4.62*LOG10(19)-4.62*LOG10(((計算!$C$19/2)*2.2046226218)+1)+3.28*LOG10(1)+LOG10((4.5-計算!$H$10)/3)/(1+3.63*(((計算!$C$19/2)*2.2046226218)+1)^5.2/((((K16)/2.54)+1)^8.46*(1)^3.52))-LOG10((4.5-計算!$H$10)/3)/(1+3.63*(18+1)^5.2/((((K16)/2.54)+1)^8.46)))),10^(-(4.62*LOG10(19)-4.62*LOG10(((計算!$C$19)*2.2046226218)+2)+3.28*LOG10(2)+LOG10((4.5-計算!$H$10)/3)/(1+3.63*(((計算!$C$19)*2.2046226218)+2)^5.2/((((K16)/2.54)+1)^8.46*(2)^3.52))-LOG10((4.5-計算!$H$10)/3)/(1+3.63*(18+1)^5.2/((((K16)/2.54)+1)^8.46))))),10^(-(4.62*LOG10(19)-4.62*LOG10(((計算!$C$19)*2.2046226218)+MATCH(計算!$B$19,{"單軸","雙軸","三軸"},0))+3.28*LOG10(MATCH(計算!$B$19,{"單軸","雙軸","三軸"},0))+LOG10((4.5-計算!$H$10)/3)/(1+3.63*(((計算!$C$19)*2.2046226218)+MATCH(計算!$B$19,{"單軸","雙軸","三軸"},0))^5.2/((((K16)/2.54)+1)^8.46*(MATCH(計算!$B$19,{"單軸","雙軸","三軸"},0))^3.52))-LOG10((4.5-計算!$H$10)/3)/(1+3.63*(18+1)^5.2/((((K16)/2.54)+1)^8.46))))))+IF(OR(計算!$C$20=0,計算!$B$20="無"),0,IF(計算!$B$20="雙前軸",MAX(2*10^(-(4.62*LOG10(19)-4.62*LOG10(((計算!$C$20/2)*2.2046226218)+1)+3.28*LOG10(1)+LOG10((4.5-計算!$H$10)/3)/(1+3.63*(((計算!$C$20/2)*2.2046226218)+1)^5.2/((((K16)/2.54)+1)^8.46*(1)^3.52))-LOG10((4.5-計算!$H$10)/3)/(1+3.63*(18+1)^5.2/((((K16)/2.54)+1)^8.46)))),10^(-(4.62*LOG10(19)-4.62*LOG10(((計算!$C$20)*2.2046226218)+2)+3.28*LOG10(2)+LOG10((4.5-計算!$H$10)/3)/(1+3.63*(((計算!$C$20)*2.2046226218)+2)^5.2/((((K16)/2.54)+1)^8.46*(2)^3.52))-LOG10((4.5-計算!$H$10)/3)/(1+3.63*(18+1)^5.2/((((K16)/2.54)+1)^8.46))))),10^(-(4.62*LOG10(19)-4.62*LOG10(((計算!$C$20)*2.2046226218)+MATCH(計算!$B$20,{"單軸","雙軸","三軸"},0))+3.28*LOG10(MATCH(計算!$B$20,{"單軸","雙軸","三軸"},0))+LOG10((4.5-計算!$H$10)/3)/(1+3.63*(((計算!$C$20)*2.2046226218)+MATCH(計算!$B$20,{"單軸","雙軸","三軸"},0))^5.2/((((K16)/2.54)+1)^8.46*(MATCH(計算!$B$20,{"單軸","雙軸","三軸"},0))^3.52))-LOG10((4.5-計算!$H$10)/3)/(1+3.63*(18+1)^5.2/((((K16)/2.54)+1)^8.46))))))+IF(OR(計算!$C$21=0,計算!$B$21="無"),0,IF(計算!$B$21="雙前軸",MAX(2*10^(-(4.62*LOG10(19)-4.62*LOG10(((計算!$C$21/2)*2.2046226218)+1)+3.28*LOG10(1)+LOG10((4.5-計算!$H$10)/3)/(1+3.63*(((計算!$C$21/2)*2.2046226218)+1)^5.2/((((K16)/2.54)+1)^8.46*(1)^3.52))-LOG10((4.5-計算!$H$10)/3)/(1+3.63*(18+1)^5.2/((((K16)/2.54)+1)^8.46)))),10^(-(4.62*LOG10(19)-4.62*LOG10(((計算!$C$21)*2.2046226218)+2)+3.28*LOG10(2)+LOG10((4.5-計算!$H$10)/3)/(1+3.63*(((計算!$C$21)*2.2046226218)+2)^5.2/((((K16)/2.54)+1)^8.46*(2)^3.52))-LOG10((4.5-計算!$H$10)/3)/(1+3.63*(18+1)^5.2/((((K16)/2.54)+1)^8.46))))),10^(-(4.62*LOG10(19)-4.62*LOG10(((計算!$C$21)*2.2046226218)+MATCH(計算!$B$21,{"單軸","雙軸","三軸"},0))+3.28*LOG10(MATCH(計算!$B$21,{"單軸","雙軸","三軸"},0))+LOG10((4.5-計算!$H$10)/3)/(1+3.63*(((計算!$C$21)*2.2046226218)+MATCH(計算!$B$21,{"單軸","雙軸","三軸"},0))^5.2/((((K16)/2.54)+1)^8.46*(MATCH(計算!$B$21,{"單軸","雙軸","三軸"},0))^3.52))-LOG10((4.5-計算!$H$10)/3)/(1+3.63*(18+1)^5.2/((((K16)/2.54)+1)^8.46)))))))))</f>
        <v>1.97141230910874</v>
      </c>
      <c r="M16" s="24">
        <f>IF(計算!$F$12&lt;&gt;"有","不設",((4-(VLOOKUP(K16,$A$52:$D$55,2,TRUE)/10)/2.54)*計算!$F$9/3)/($B$69*(0.45*MAX(計算!$D$19:$D$21)/2*1000*(1-15/((計算!$H$8*K16^3/(12*(1-0.15^2)*計算!$F$6))^0.25))/SUMPRODUCT((1-{15,45,75,105,135,165}/((計算!$H$8*K16^3/(12*(1-0.15^2)*計算!$F$6))^0.25))*({15,45,75,105,135,165}&lt;((計算!$H$8*K16^3/(12*(1-0.15^2)*計算!$F$6))^0.25))))*(2+(($B$69*(VLOOKUP(K16,$A$52:$D$55,2,TRUE)/10)/(4*2040000*(PI()*(VLOOKUP(K16,$A$52:$D$55,2,TRUE)/10)^4/64)))^0.25)*0.3)/(4*(($B$69*(VLOOKUP(K16,$A$52:$D$55,2,TRUE)/10)/(4*2040000*(PI()*(VLOOKUP(K16,$A$52:$D$55,2,TRUE)/10)^4/64)))^0.25)^3*2040000*(PI()*(VLOOKUP(K16,$A$52:$D$55,2,TRUE)/10)^4/64))))</f>
        <v>1.27451809081162</v>
      </c>
    </row>
    <row r="17">
      <c r="A17" s="7" t="inlineStr">
        <is>
          <t>高速、快速公路</t>
        </is>
      </c>
      <c r="B17" s="13" t="inlineStr">
        <is>
          <t>80–99.9%</t>
        </is>
      </c>
      <c r="C17" s="10" t="n">
        <v>0.95</v>
      </c>
      <c r="D17" s="13" t="inlineStr"/>
      <c r="E17" s="13" t="inlineStr"/>
      <c r="F17" s="13" t="inlineStr"/>
      <c r="G17" s="13" t="inlineStr"/>
      <c r="H17" s="13" t="inlineStr"/>
      <c r="I17" s="13" t="inlineStr"/>
      <c r="K17" s="13" t="n">
        <v>26</v>
      </c>
      <c r="L17" s="24">
        <f>IF(計算!$E$22&lt;=0,"—",10^(計算!$H$5*計算!$H$6+7.35*LOG10(((K17)/2.54)+1)-0.06+LOG10((計算!$F$10-計算!$H$10)/3)/(1+1.624E7/(((K17)/2.54)+1)^8.46)+(4.22-0.32*計算!$H$10)*LOG10((計算!$F$8*14.223343307)*計算!$H$7*(((K17)/2.54)^0.75-1.132)/(215.63*計算!$F$7*(((K17)/2.54)^0.75-18.42/((計算!$H$8*14.223343307)/(計算!$F$6*36.127292))^0.25))))/(計算!$B$7*計算!$B$8*計算!$B$9*(IF(OR(計算!$C$19=0,計算!$B$19="無"),0,IF(計算!$B$19="雙前軸",MAX(2*10^(-(4.62*LOG10(19)-4.62*LOG10(((計算!$C$19/2)*2.2046226218)+1)+3.28*LOG10(1)+LOG10((4.5-計算!$H$10)/3)/(1+3.63*(((計算!$C$19/2)*2.2046226218)+1)^5.2/((((K17)/2.54)+1)^8.46*(1)^3.52))-LOG10((4.5-計算!$H$10)/3)/(1+3.63*(18+1)^5.2/((((K17)/2.54)+1)^8.46)))),10^(-(4.62*LOG10(19)-4.62*LOG10(((計算!$C$19)*2.2046226218)+2)+3.28*LOG10(2)+LOG10((4.5-計算!$H$10)/3)/(1+3.63*(((計算!$C$19)*2.2046226218)+2)^5.2/((((K17)/2.54)+1)^8.46*(2)^3.52))-LOG10((4.5-計算!$H$10)/3)/(1+3.63*(18+1)^5.2/((((K17)/2.54)+1)^8.46))))),10^(-(4.62*LOG10(19)-4.62*LOG10(((計算!$C$19)*2.2046226218)+MATCH(計算!$B$19,{"單軸","雙軸","三軸"},0))+3.28*LOG10(MATCH(計算!$B$19,{"單軸","雙軸","三軸"},0))+LOG10((4.5-計算!$H$10)/3)/(1+3.63*(((計算!$C$19)*2.2046226218)+MATCH(計算!$B$19,{"單軸","雙軸","三軸"},0))^5.2/((((K17)/2.54)+1)^8.46*(MATCH(計算!$B$19,{"單軸","雙軸","三軸"},0))^3.52))-LOG10((4.5-計算!$H$10)/3)/(1+3.63*(18+1)^5.2/((((K17)/2.54)+1)^8.46))))))+IF(OR(計算!$C$20=0,計算!$B$20="無"),0,IF(計算!$B$20="雙前軸",MAX(2*10^(-(4.62*LOG10(19)-4.62*LOG10(((計算!$C$20/2)*2.2046226218)+1)+3.28*LOG10(1)+LOG10((4.5-計算!$H$10)/3)/(1+3.63*(((計算!$C$20/2)*2.2046226218)+1)^5.2/((((K17)/2.54)+1)^8.46*(1)^3.52))-LOG10((4.5-計算!$H$10)/3)/(1+3.63*(18+1)^5.2/((((K17)/2.54)+1)^8.46)))),10^(-(4.62*LOG10(19)-4.62*LOG10(((計算!$C$20)*2.2046226218)+2)+3.28*LOG10(2)+LOG10((4.5-計算!$H$10)/3)/(1+3.63*(((計算!$C$20)*2.2046226218)+2)^5.2/((((K17)/2.54)+1)^8.46*(2)^3.52))-LOG10((4.5-計算!$H$10)/3)/(1+3.63*(18+1)^5.2/((((K17)/2.54)+1)^8.46))))),10^(-(4.62*LOG10(19)-4.62*LOG10(((計算!$C$20)*2.2046226218)+MATCH(計算!$B$20,{"單軸","雙軸","三軸"},0))+3.28*LOG10(MATCH(計算!$B$20,{"單軸","雙軸","三軸"},0))+LOG10((4.5-計算!$H$10)/3)/(1+3.63*(((計算!$C$20)*2.2046226218)+MATCH(計算!$B$20,{"單軸","雙軸","三軸"},0))^5.2/((((K17)/2.54)+1)^8.46*(MATCH(計算!$B$20,{"單軸","雙軸","三軸"},0))^3.52))-LOG10((4.5-計算!$H$10)/3)/(1+3.63*(18+1)^5.2/((((K17)/2.54)+1)^8.46))))))+IF(OR(計算!$C$21=0,計算!$B$21="無"),0,IF(計算!$B$21="雙前軸",MAX(2*10^(-(4.62*LOG10(19)-4.62*LOG10(((計算!$C$21/2)*2.2046226218)+1)+3.28*LOG10(1)+LOG10((4.5-計算!$H$10)/3)/(1+3.63*(((計算!$C$21/2)*2.2046226218)+1)^5.2/((((K17)/2.54)+1)^8.46*(1)^3.52))-LOG10((4.5-計算!$H$10)/3)/(1+3.63*(18+1)^5.2/((((K17)/2.54)+1)^8.46)))),10^(-(4.62*LOG10(19)-4.62*LOG10(((計算!$C$21)*2.2046226218)+2)+3.28*LOG10(2)+LOG10((4.5-計算!$H$10)/3)/(1+3.63*(((計算!$C$21)*2.2046226218)+2)^5.2/((((K17)/2.54)+1)^8.46*(2)^3.52))-LOG10((4.5-計算!$H$10)/3)/(1+3.63*(18+1)^5.2/((((K17)/2.54)+1)^8.46))))),10^(-(4.62*LOG10(19)-4.62*LOG10(((計算!$C$21)*2.2046226218)+MATCH(計算!$B$21,{"單軸","雙軸","三軸"},0))+3.28*LOG10(MATCH(計算!$B$21,{"單軸","雙軸","三軸"},0))+LOG10((4.5-計算!$H$10)/3)/(1+3.63*(((計算!$C$21)*2.2046226218)+MATCH(計算!$B$21,{"單軸","雙軸","三軸"},0))^5.2/((((K17)/2.54)+1)^8.46*(MATCH(計算!$B$21,{"單軸","雙軸","三軸"},0))^3.52))-LOG10((4.5-計算!$H$10)/3)/(1+3.63*(18+1)^5.2/((((K17)/2.54)+1)^8.46)))))))))</f>
        <v>2.45939205229981</v>
      </c>
      <c r="M17" s="24">
        <f>IF(計算!$F$12&lt;&gt;"有","不設",((4-(VLOOKUP(K17,$A$52:$D$55,2,TRUE)/10)/2.54)*計算!$F$9/3)/($B$69*(0.45*MAX(計算!$D$19:$D$21)/2*1000*(1-15/((計算!$H$8*K17^3/(12*(1-0.15^2)*計算!$F$6))^0.25))/SUMPRODUCT((1-{15,45,75,105,135,165}/((計算!$H$8*K17^3/(12*(1-0.15^2)*計算!$F$6))^0.25))*({15,45,75,105,135,165}&lt;((計算!$H$8*K17^3/(12*(1-0.15^2)*計算!$F$6))^0.25))))*(2+(($B$69*(VLOOKUP(K17,$A$52:$D$55,2,TRUE)/10)/(4*2040000*(PI()*(VLOOKUP(K17,$A$52:$D$55,2,TRUE)/10)^4/64)))^0.25)*0.3)/(4*(($B$69*(VLOOKUP(K17,$A$52:$D$55,2,TRUE)/10)/(4*2040000*(PI()*(VLOOKUP(K17,$A$52:$D$55,2,TRUE)/10)^4/64)))^0.25)^3*2040000*(PI()*(VLOOKUP(K17,$A$52:$D$55,2,TRUE)/10)^4/64))))</f>
        <v>1.30095851151499</v>
      </c>
    </row>
    <row r="18">
      <c r="A18" s="4" t="inlineStr">
        <is>
          <t>依據：FHWA NHI-05-037 表C-2（AASHTO 1993），Z_R＝NORM.S.INV(1−R)，對照表C-3。</t>
        </is>
      </c>
      <c r="K18" s="13" t="n">
        <v>27</v>
      </c>
      <c r="L18" s="24">
        <f>IF(計算!$E$22&lt;=0,"—",10^(計算!$H$5*計算!$H$6+7.35*LOG10(((K18)/2.54)+1)-0.06+LOG10((計算!$F$10-計算!$H$10)/3)/(1+1.624E7/(((K18)/2.54)+1)^8.46)+(4.22-0.32*計算!$H$10)*LOG10((計算!$F$8*14.223343307)*計算!$H$7*(((K18)/2.54)^0.75-1.132)/(215.63*計算!$F$7*(((K18)/2.54)^0.75-18.42/((計算!$H$8*14.223343307)/(計算!$F$6*36.127292))^0.25))))/(計算!$B$7*計算!$B$8*計算!$B$9*(IF(OR(計算!$C$19=0,計算!$B$19="無"),0,IF(計算!$B$19="雙前軸",MAX(2*10^(-(4.62*LOG10(19)-4.62*LOG10(((計算!$C$19/2)*2.2046226218)+1)+3.28*LOG10(1)+LOG10((4.5-計算!$H$10)/3)/(1+3.63*(((計算!$C$19/2)*2.2046226218)+1)^5.2/((((K18)/2.54)+1)^8.46*(1)^3.52))-LOG10((4.5-計算!$H$10)/3)/(1+3.63*(18+1)^5.2/((((K18)/2.54)+1)^8.46)))),10^(-(4.62*LOG10(19)-4.62*LOG10(((計算!$C$19)*2.2046226218)+2)+3.28*LOG10(2)+LOG10((4.5-計算!$H$10)/3)/(1+3.63*(((計算!$C$19)*2.2046226218)+2)^5.2/((((K18)/2.54)+1)^8.46*(2)^3.52))-LOG10((4.5-計算!$H$10)/3)/(1+3.63*(18+1)^5.2/((((K18)/2.54)+1)^8.46))))),10^(-(4.62*LOG10(19)-4.62*LOG10(((計算!$C$19)*2.2046226218)+MATCH(計算!$B$19,{"單軸","雙軸","三軸"},0))+3.28*LOG10(MATCH(計算!$B$19,{"單軸","雙軸","三軸"},0))+LOG10((4.5-計算!$H$10)/3)/(1+3.63*(((計算!$C$19)*2.2046226218)+MATCH(計算!$B$19,{"單軸","雙軸","三軸"},0))^5.2/((((K18)/2.54)+1)^8.46*(MATCH(計算!$B$19,{"單軸","雙軸","三軸"},0))^3.52))-LOG10((4.5-計算!$H$10)/3)/(1+3.63*(18+1)^5.2/((((K18)/2.54)+1)^8.46))))))+IF(OR(計算!$C$20=0,計算!$B$20="無"),0,IF(計算!$B$20="雙前軸",MAX(2*10^(-(4.62*LOG10(19)-4.62*LOG10(((計算!$C$20/2)*2.2046226218)+1)+3.28*LOG10(1)+LOG10((4.5-計算!$H$10)/3)/(1+3.63*(((計算!$C$20/2)*2.2046226218)+1)^5.2/((((K18)/2.54)+1)^8.46*(1)^3.52))-LOG10((4.5-計算!$H$10)/3)/(1+3.63*(18+1)^5.2/((((K18)/2.54)+1)^8.46)))),10^(-(4.62*LOG10(19)-4.62*LOG10(((計算!$C$20)*2.2046226218)+2)+3.28*LOG10(2)+LOG10((4.5-計算!$H$10)/3)/(1+3.63*(((計算!$C$20)*2.2046226218)+2)^5.2/((((K18)/2.54)+1)^8.46*(2)^3.52))-LOG10((4.5-計算!$H$10)/3)/(1+3.63*(18+1)^5.2/((((K18)/2.54)+1)^8.46))))),10^(-(4.62*LOG10(19)-4.62*LOG10(((計算!$C$20)*2.2046226218)+MATCH(計算!$B$20,{"單軸","雙軸","三軸"},0))+3.28*LOG10(MATCH(計算!$B$20,{"單軸","雙軸","三軸"},0))+LOG10((4.5-計算!$H$10)/3)/(1+3.63*(((計算!$C$20)*2.2046226218)+MATCH(計算!$B$20,{"單軸","雙軸","三軸"},0))^5.2/((((K18)/2.54)+1)^8.46*(MATCH(計算!$B$20,{"單軸","雙軸","三軸"},0))^3.52))-LOG10((4.5-計算!$H$10)/3)/(1+3.63*(18+1)^5.2/((((K18)/2.54)+1)^8.46))))))+IF(OR(計算!$C$21=0,計算!$B$21="無"),0,IF(計算!$B$21="雙前軸",MAX(2*10^(-(4.62*LOG10(19)-4.62*LOG10(((計算!$C$21/2)*2.2046226218)+1)+3.28*LOG10(1)+LOG10((4.5-計算!$H$10)/3)/(1+3.63*(((計算!$C$21/2)*2.2046226218)+1)^5.2/((((K18)/2.54)+1)^8.46*(1)^3.52))-LOG10((4.5-計算!$H$10)/3)/(1+3.63*(18+1)^5.2/((((K18)/2.54)+1)^8.46)))),10^(-(4.62*LOG10(19)-4.62*LOG10(((計算!$C$21)*2.2046226218)+2)+3.28*LOG10(2)+LOG10((4.5-計算!$H$10)/3)/(1+3.63*(((計算!$C$21)*2.2046226218)+2)^5.2/((((K18)/2.54)+1)^8.46*(2)^3.52))-LOG10((4.5-計算!$H$10)/3)/(1+3.63*(18+1)^5.2/((((K18)/2.54)+1)^8.46))))),10^(-(4.62*LOG10(19)-4.62*LOG10(((計算!$C$21)*2.2046226218)+MATCH(計算!$B$21,{"單軸","雙軸","三軸"},0))+3.28*LOG10(MATCH(計算!$B$21,{"單軸","雙軸","三軸"},0))+LOG10((4.5-計算!$H$10)/3)/(1+3.63*(((計算!$C$21)*2.2046226218)+MATCH(計算!$B$21,{"單軸","雙軸","三軸"},0))^5.2/((((K18)/2.54)+1)^8.46*(MATCH(計算!$B$21,{"單軸","雙軸","三軸"},0))^3.52))-LOG10((4.5-計算!$H$10)/3)/(1+3.63*(18+1)^5.2/((((K18)/2.54)+1)^8.46)))))))))</f>
        <v>3.04875159237237</v>
      </c>
      <c r="M18" s="24">
        <f>IF(計算!$F$12&lt;&gt;"有","不設",((4-(VLOOKUP(K18,$A$52:$D$55,2,TRUE)/10)/2.54)*計算!$F$9/3)/($B$69*(0.45*MAX(計算!$D$19:$D$21)/2*1000*(1-15/((計算!$H$8*K18^3/(12*(1-0.15^2)*計算!$F$6))^0.25))/SUMPRODUCT((1-{15,45,75,105,135,165}/((計算!$H$8*K18^3/(12*(1-0.15^2)*計算!$F$6))^0.25))*({15,45,75,105,135,165}&lt;((計算!$H$8*K18^3/(12*(1-0.15^2)*計算!$F$6))^0.25))))*(2+(($B$69*(VLOOKUP(K18,$A$52:$D$55,2,TRUE)/10)/(4*2040000*(PI()*(VLOOKUP(K18,$A$52:$D$55,2,TRUE)/10)^4/64)))^0.25)*0.3)/(4*(($B$69*(VLOOKUP(K18,$A$52:$D$55,2,TRUE)/10)/(4*2040000*(PI()*(VLOOKUP(K18,$A$52:$D$55,2,TRUE)/10)^4/64)))^0.25)^3*2040000*(PI()*(VLOOKUP(K18,$A$52:$D$55,2,TRUE)/10)^4/64))))</f>
        <v>1.64292427053683</v>
      </c>
    </row>
    <row r="19">
      <c r="A19" s="22" t="inlineStr">
        <is>
          <t>表3　路基土壤與設計 k 值（kgf/cm³）</t>
        </is>
      </c>
      <c r="B19" s="23" t="n"/>
      <c r="C19" s="23" t="n"/>
      <c r="D19" s="23" t="n"/>
      <c r="E19" s="23" t="n"/>
      <c r="F19" s="23" t="n"/>
      <c r="G19" s="23" t="n"/>
      <c r="H19" s="23" t="n"/>
      <c r="I19" s="23" t="n"/>
      <c r="K19" s="13" t="n">
        <v>28</v>
      </c>
      <c r="L19" s="24">
        <f>IF(計算!$E$22&lt;=0,"—",10^(計算!$H$5*計算!$H$6+7.35*LOG10(((K19)/2.54)+1)-0.06+LOG10((計算!$F$10-計算!$H$10)/3)/(1+1.624E7/(((K19)/2.54)+1)^8.46)+(4.22-0.32*計算!$H$10)*LOG10((計算!$F$8*14.223343307)*計算!$H$7*(((K19)/2.54)^0.75-1.132)/(215.63*計算!$F$7*(((K19)/2.54)^0.75-18.42/((計算!$H$8*14.223343307)/(計算!$F$6*36.127292))^0.25))))/(計算!$B$7*計算!$B$8*計算!$B$9*(IF(OR(計算!$C$19=0,計算!$B$19="無"),0,IF(計算!$B$19="雙前軸",MAX(2*10^(-(4.62*LOG10(19)-4.62*LOG10(((計算!$C$19/2)*2.2046226218)+1)+3.28*LOG10(1)+LOG10((4.5-計算!$H$10)/3)/(1+3.63*(((計算!$C$19/2)*2.2046226218)+1)^5.2/((((K19)/2.54)+1)^8.46*(1)^3.52))-LOG10((4.5-計算!$H$10)/3)/(1+3.63*(18+1)^5.2/((((K19)/2.54)+1)^8.46)))),10^(-(4.62*LOG10(19)-4.62*LOG10(((計算!$C$19)*2.2046226218)+2)+3.28*LOG10(2)+LOG10((4.5-計算!$H$10)/3)/(1+3.63*(((計算!$C$19)*2.2046226218)+2)^5.2/((((K19)/2.54)+1)^8.46*(2)^3.52))-LOG10((4.5-計算!$H$10)/3)/(1+3.63*(18+1)^5.2/((((K19)/2.54)+1)^8.46))))),10^(-(4.62*LOG10(19)-4.62*LOG10(((計算!$C$19)*2.2046226218)+MATCH(計算!$B$19,{"單軸","雙軸","三軸"},0))+3.28*LOG10(MATCH(計算!$B$19,{"單軸","雙軸","三軸"},0))+LOG10((4.5-計算!$H$10)/3)/(1+3.63*(((計算!$C$19)*2.2046226218)+MATCH(計算!$B$19,{"單軸","雙軸","三軸"},0))^5.2/((((K19)/2.54)+1)^8.46*(MATCH(計算!$B$19,{"單軸","雙軸","三軸"},0))^3.52))-LOG10((4.5-計算!$H$10)/3)/(1+3.63*(18+1)^5.2/((((K19)/2.54)+1)^8.46))))))+IF(OR(計算!$C$20=0,計算!$B$20="無"),0,IF(計算!$B$20="雙前軸",MAX(2*10^(-(4.62*LOG10(19)-4.62*LOG10(((計算!$C$20/2)*2.2046226218)+1)+3.28*LOG10(1)+LOG10((4.5-計算!$H$10)/3)/(1+3.63*(((計算!$C$20/2)*2.2046226218)+1)^5.2/((((K19)/2.54)+1)^8.46*(1)^3.52))-LOG10((4.5-計算!$H$10)/3)/(1+3.63*(18+1)^5.2/((((K19)/2.54)+1)^8.46)))),10^(-(4.62*LOG10(19)-4.62*LOG10(((計算!$C$20)*2.2046226218)+2)+3.28*LOG10(2)+LOG10((4.5-計算!$H$10)/3)/(1+3.63*(((計算!$C$20)*2.2046226218)+2)^5.2/((((K19)/2.54)+1)^8.46*(2)^3.52))-LOG10((4.5-計算!$H$10)/3)/(1+3.63*(18+1)^5.2/((((K19)/2.54)+1)^8.46))))),10^(-(4.62*LOG10(19)-4.62*LOG10(((計算!$C$20)*2.2046226218)+MATCH(計算!$B$20,{"單軸","雙軸","三軸"},0))+3.28*LOG10(MATCH(計算!$B$20,{"單軸","雙軸","三軸"},0))+LOG10((4.5-計算!$H$10)/3)/(1+3.63*(((計算!$C$20)*2.2046226218)+MATCH(計算!$B$20,{"單軸","雙軸","三軸"},0))^5.2/((((K19)/2.54)+1)^8.46*(MATCH(計算!$B$20,{"單軸","雙軸","三軸"},0))^3.52))-LOG10((4.5-計算!$H$10)/3)/(1+3.63*(18+1)^5.2/((((K19)/2.54)+1)^8.46))))))+IF(OR(計算!$C$21=0,計算!$B$21="無"),0,IF(計算!$B$21="雙前軸",MAX(2*10^(-(4.62*LOG10(19)-4.62*LOG10(((計算!$C$21/2)*2.2046226218)+1)+3.28*LOG10(1)+LOG10((4.5-計算!$H$10)/3)/(1+3.63*(((計算!$C$21/2)*2.2046226218)+1)^5.2/((((K19)/2.54)+1)^8.46*(1)^3.52))-LOG10((4.5-計算!$H$10)/3)/(1+3.63*(18+1)^5.2/((((K19)/2.54)+1)^8.46)))),10^(-(4.62*LOG10(19)-4.62*LOG10(((計算!$C$21)*2.2046226218)+2)+3.28*LOG10(2)+LOG10((4.5-計算!$H$10)/3)/(1+3.63*(((計算!$C$21)*2.2046226218)+2)^5.2/((((K19)/2.54)+1)^8.46*(2)^3.52))-LOG10((4.5-計算!$H$10)/3)/(1+3.63*(18+1)^5.2/((((K19)/2.54)+1)^8.46))))),10^(-(4.62*LOG10(19)-4.62*LOG10(((計算!$C$21)*2.2046226218)+MATCH(計算!$B$21,{"單軸","雙軸","三軸"},0))+3.28*LOG10(MATCH(計算!$B$21,{"單軸","雙軸","三軸"},0))+LOG10((4.5-計算!$H$10)/3)/(1+3.63*(((計算!$C$21)*2.2046226218)+MATCH(計算!$B$21,{"單軸","雙軸","三軸"},0))^5.2/((((K19)/2.54)+1)^8.46*(MATCH(計算!$B$21,{"單軸","雙軸","三軸"},0))^3.52))-LOG10((4.5-計算!$H$10)/3)/(1+3.63*(18+1)^5.2/((((K19)/2.54)+1)^8.46)))))))))</f>
        <v>3.76058917722611</v>
      </c>
      <c r="M19" s="24">
        <f>IF(計算!$F$12&lt;&gt;"有","不設",((4-(VLOOKUP(K19,$A$52:$D$55,2,TRUE)/10)/2.54)*計算!$F$9/3)/($B$69*(0.45*MAX(計算!$D$19:$D$21)/2*1000*(1-15/((計算!$H$8*K19^3/(12*(1-0.15^2)*計算!$F$6))^0.25))/SUMPRODUCT((1-{15,45,75,105,135,165}/((計算!$H$8*K19^3/(12*(1-0.15^2)*計算!$F$6))^0.25))*({15,45,75,105,135,165}&lt;((計算!$H$8*K19^3/(12*(1-0.15^2)*計算!$F$6))^0.25))))*(2+(($B$69*(VLOOKUP(K19,$A$52:$D$55,2,TRUE)/10)/(4*2040000*(PI()*(VLOOKUP(K19,$A$52:$D$55,2,TRUE)/10)^4/64)))^0.25)*0.3)/(4*(($B$69*(VLOOKUP(K19,$A$52:$D$55,2,TRUE)/10)/(4*2040000*(PI()*(VLOOKUP(K19,$A$52:$D$55,2,TRUE)/10)^4/64)))^0.25)^3*2040000*(PI()*(VLOOKUP(K19,$A$52:$D$55,2,TRUE)/10)^4/64))))</f>
        <v>1.67106295304075</v>
      </c>
    </row>
    <row r="20">
      <c r="A20" s="5" t="inlineStr">
        <is>
          <t>路基等級</t>
        </is>
      </c>
      <c r="B20" s="5" t="inlineStr">
        <is>
          <t>土壤例</t>
        </is>
      </c>
      <c r="C20" s="5" t="inlineStr">
        <is>
          <t>NHI keff(pci)</t>
        </is>
      </c>
      <c r="D20" s="5" t="inlineStr">
        <is>
          <t>採用k</t>
        </is>
      </c>
      <c r="E20" s="5" t="inlineStr"/>
      <c r="F20" s="5" t="inlineStr"/>
      <c r="G20" s="5" t="inlineStr"/>
      <c r="H20" s="5" t="inlineStr"/>
      <c r="I20" s="5" t="inlineStr">
        <is>
          <t>說明</t>
        </is>
      </c>
      <c r="K20" s="13" t="n">
        <v>29</v>
      </c>
      <c r="L20" s="24">
        <f>IF(計算!$E$22&lt;=0,"—",10^(計算!$H$5*計算!$H$6+7.35*LOG10(((K20)/2.54)+1)-0.06+LOG10((計算!$F$10-計算!$H$10)/3)/(1+1.624E7/(((K20)/2.54)+1)^8.46)+(4.22-0.32*計算!$H$10)*LOG10((計算!$F$8*14.223343307)*計算!$H$7*(((K20)/2.54)^0.75-1.132)/(215.63*計算!$F$7*(((K20)/2.54)^0.75-18.42/((計算!$H$8*14.223343307)/(計算!$F$6*36.127292))^0.25))))/(計算!$B$7*計算!$B$8*計算!$B$9*(IF(OR(計算!$C$19=0,計算!$B$19="無"),0,IF(計算!$B$19="雙前軸",MAX(2*10^(-(4.62*LOG10(19)-4.62*LOG10(((計算!$C$19/2)*2.2046226218)+1)+3.28*LOG10(1)+LOG10((4.5-計算!$H$10)/3)/(1+3.63*(((計算!$C$19/2)*2.2046226218)+1)^5.2/((((K20)/2.54)+1)^8.46*(1)^3.52))-LOG10((4.5-計算!$H$10)/3)/(1+3.63*(18+1)^5.2/((((K20)/2.54)+1)^8.46)))),10^(-(4.62*LOG10(19)-4.62*LOG10(((計算!$C$19)*2.2046226218)+2)+3.28*LOG10(2)+LOG10((4.5-計算!$H$10)/3)/(1+3.63*(((計算!$C$19)*2.2046226218)+2)^5.2/((((K20)/2.54)+1)^8.46*(2)^3.52))-LOG10((4.5-計算!$H$10)/3)/(1+3.63*(18+1)^5.2/((((K20)/2.54)+1)^8.46))))),10^(-(4.62*LOG10(19)-4.62*LOG10(((計算!$C$19)*2.2046226218)+MATCH(計算!$B$19,{"單軸","雙軸","三軸"},0))+3.28*LOG10(MATCH(計算!$B$19,{"單軸","雙軸","三軸"},0))+LOG10((4.5-計算!$H$10)/3)/(1+3.63*(((計算!$C$19)*2.2046226218)+MATCH(計算!$B$19,{"單軸","雙軸","三軸"},0))^5.2/((((K20)/2.54)+1)^8.46*(MATCH(計算!$B$19,{"單軸","雙軸","三軸"},0))^3.52))-LOG10((4.5-計算!$H$10)/3)/(1+3.63*(18+1)^5.2/((((K20)/2.54)+1)^8.46))))))+IF(OR(計算!$C$20=0,計算!$B$20="無"),0,IF(計算!$B$20="雙前軸",MAX(2*10^(-(4.62*LOG10(19)-4.62*LOG10(((計算!$C$20/2)*2.2046226218)+1)+3.28*LOG10(1)+LOG10((4.5-計算!$H$10)/3)/(1+3.63*(((計算!$C$20/2)*2.2046226218)+1)^5.2/((((K20)/2.54)+1)^8.46*(1)^3.52))-LOG10((4.5-計算!$H$10)/3)/(1+3.63*(18+1)^5.2/((((K20)/2.54)+1)^8.46)))),10^(-(4.62*LOG10(19)-4.62*LOG10(((計算!$C$20)*2.2046226218)+2)+3.28*LOG10(2)+LOG10((4.5-計算!$H$10)/3)/(1+3.63*(((計算!$C$20)*2.2046226218)+2)^5.2/((((K20)/2.54)+1)^8.46*(2)^3.52))-LOG10((4.5-計算!$H$10)/3)/(1+3.63*(18+1)^5.2/((((K20)/2.54)+1)^8.46))))),10^(-(4.62*LOG10(19)-4.62*LOG10(((計算!$C$20)*2.2046226218)+MATCH(計算!$B$20,{"單軸","雙軸","三軸"},0))+3.28*LOG10(MATCH(計算!$B$20,{"單軸","雙軸","三軸"},0))+LOG10((4.5-計算!$H$10)/3)/(1+3.63*(((計算!$C$20)*2.2046226218)+MATCH(計算!$B$20,{"單軸","雙軸","三軸"},0))^5.2/((((K20)/2.54)+1)^8.46*(MATCH(計算!$B$20,{"單軸","雙軸","三軸"},0))^3.52))-LOG10((4.5-計算!$H$10)/3)/(1+3.63*(18+1)^5.2/((((K20)/2.54)+1)^8.46))))))+IF(OR(計算!$C$21=0,計算!$B$21="無"),0,IF(計算!$B$21="雙前軸",MAX(2*10^(-(4.62*LOG10(19)-4.62*LOG10(((計算!$C$21/2)*2.2046226218)+1)+3.28*LOG10(1)+LOG10((4.5-計算!$H$10)/3)/(1+3.63*(((計算!$C$21/2)*2.2046226218)+1)^5.2/((((K20)/2.54)+1)^8.46*(1)^3.52))-LOG10((4.5-計算!$H$10)/3)/(1+3.63*(18+1)^5.2/((((K20)/2.54)+1)^8.46)))),10^(-(4.62*LOG10(19)-4.62*LOG10(((計算!$C$21)*2.2046226218)+2)+3.28*LOG10(2)+LOG10((4.5-計算!$H$10)/3)/(1+3.63*(((計算!$C$21)*2.2046226218)+2)^5.2/((((K20)/2.54)+1)^8.46*(2)^3.52))-LOG10((4.5-計算!$H$10)/3)/(1+3.63*(18+1)^5.2/((((K20)/2.54)+1)^8.46))))),10^(-(4.62*LOG10(19)-4.62*LOG10(((計算!$C$21)*2.2046226218)+MATCH(計算!$B$21,{"單軸","雙軸","三軸"},0))+3.28*LOG10(MATCH(計算!$B$21,{"單軸","雙軸","三軸"},0))+LOG10((4.5-計算!$H$10)/3)/(1+3.63*(((計算!$C$21)*2.2046226218)+MATCH(計算!$B$21,{"單軸","雙軸","三軸"},0))^5.2/((((K20)/2.54)+1)^8.46*(MATCH(計算!$B$21,{"單軸","雙軸","三軸"},0))^3.52))-LOG10((4.5-計算!$H$10)/3)/(1+3.63*(18+1)^5.2/((((K20)/2.54)+1)^8.46)))))))))</f>
        <v>4.61991235099481</v>
      </c>
      <c r="M20" s="24">
        <f>IF(計算!$F$12&lt;&gt;"有","不設",((4-(VLOOKUP(K20,$A$52:$D$55,2,TRUE)/10)/2.54)*計算!$F$9/3)/($B$69*(0.45*MAX(計算!$D$19:$D$21)/2*1000*(1-15/((計算!$H$8*K20^3/(12*(1-0.15^2)*計算!$F$6))^0.25))/SUMPRODUCT((1-{15,45,75,105,135,165}/((計算!$H$8*K20^3/(12*(1-0.15^2)*計算!$F$6))^0.25))*({15,45,75,105,135,165}&lt;((計算!$H$8*K20^3/(12*(1-0.15^2)*計算!$F$6))^0.25))))*(2+(($B$69*(VLOOKUP(K20,$A$52:$D$55,2,TRUE)/10)/(4*2040000*(PI()*(VLOOKUP(K20,$A$52:$D$55,2,TRUE)/10)^4/64)))^0.25)*0.3)/(4*(($B$69*(VLOOKUP(K20,$A$52:$D$55,2,TRUE)/10)/(4*2040000*(PI()*(VLOOKUP(K20,$A$52:$D$55,2,TRUE)/10)^4/64)))^0.25)^3*2040000*(PI()*(VLOOKUP(K20,$A$52:$D$55,2,TRUE)/10)^4/64))))</f>
        <v>1.70363804756858</v>
      </c>
    </row>
    <row r="21">
      <c r="A21" s="7" t="inlineStr">
        <is>
          <t>很好</t>
        </is>
      </c>
      <c r="B21" s="13" t="inlineStr">
        <is>
          <t>岩盤、膠結礫石層</t>
        </is>
      </c>
      <c r="C21" s="13" t="inlineStr">
        <is>
          <t>&gt;550</t>
        </is>
      </c>
      <c r="D21" s="20" t="n">
        <v>8</v>
      </c>
      <c r="E21" s="13" t="inlineStr"/>
      <c r="F21" s="13" t="inlineStr"/>
      <c r="G21" s="13" t="inlineStr"/>
      <c r="H21" s="13" t="inlineStr"/>
      <c r="I21" s="13" t="inlineStr"/>
      <c r="K21" s="13" t="n">
        <v>30</v>
      </c>
      <c r="L21" s="24">
        <f>IF(計算!$E$22&lt;=0,"—",10^(計算!$H$5*計算!$H$6+7.35*LOG10(((K21)/2.54)+1)-0.06+LOG10((計算!$F$10-計算!$H$10)/3)/(1+1.624E7/(((K21)/2.54)+1)^8.46)+(4.22-0.32*計算!$H$10)*LOG10((計算!$F$8*14.223343307)*計算!$H$7*(((K21)/2.54)^0.75-1.132)/(215.63*計算!$F$7*(((K21)/2.54)^0.75-18.42/((計算!$H$8*14.223343307)/(計算!$F$6*36.127292))^0.25))))/(計算!$B$7*計算!$B$8*計算!$B$9*(IF(OR(計算!$C$19=0,計算!$B$19="無"),0,IF(計算!$B$19="雙前軸",MAX(2*10^(-(4.62*LOG10(19)-4.62*LOG10(((計算!$C$19/2)*2.2046226218)+1)+3.28*LOG10(1)+LOG10((4.5-計算!$H$10)/3)/(1+3.63*(((計算!$C$19/2)*2.2046226218)+1)^5.2/((((K21)/2.54)+1)^8.46*(1)^3.52))-LOG10((4.5-計算!$H$10)/3)/(1+3.63*(18+1)^5.2/((((K21)/2.54)+1)^8.46)))),10^(-(4.62*LOG10(19)-4.62*LOG10(((計算!$C$19)*2.2046226218)+2)+3.28*LOG10(2)+LOG10((4.5-計算!$H$10)/3)/(1+3.63*(((計算!$C$19)*2.2046226218)+2)^5.2/((((K21)/2.54)+1)^8.46*(2)^3.52))-LOG10((4.5-計算!$H$10)/3)/(1+3.63*(18+1)^5.2/((((K21)/2.54)+1)^8.46))))),10^(-(4.62*LOG10(19)-4.62*LOG10(((計算!$C$19)*2.2046226218)+MATCH(計算!$B$19,{"單軸","雙軸","三軸"},0))+3.28*LOG10(MATCH(計算!$B$19,{"單軸","雙軸","三軸"},0))+LOG10((4.5-計算!$H$10)/3)/(1+3.63*(((計算!$C$19)*2.2046226218)+MATCH(計算!$B$19,{"單軸","雙軸","三軸"},0))^5.2/((((K21)/2.54)+1)^8.46*(MATCH(計算!$B$19,{"單軸","雙軸","三軸"},0))^3.52))-LOG10((4.5-計算!$H$10)/3)/(1+3.63*(18+1)^5.2/((((K21)/2.54)+1)^8.46))))))+IF(OR(計算!$C$20=0,計算!$B$20="無"),0,IF(計算!$B$20="雙前軸",MAX(2*10^(-(4.62*LOG10(19)-4.62*LOG10(((計算!$C$20/2)*2.2046226218)+1)+3.28*LOG10(1)+LOG10((4.5-計算!$H$10)/3)/(1+3.63*(((計算!$C$20/2)*2.2046226218)+1)^5.2/((((K21)/2.54)+1)^8.46*(1)^3.52))-LOG10((4.5-計算!$H$10)/3)/(1+3.63*(18+1)^5.2/((((K21)/2.54)+1)^8.46)))),10^(-(4.62*LOG10(19)-4.62*LOG10(((計算!$C$20)*2.2046226218)+2)+3.28*LOG10(2)+LOG10((4.5-計算!$H$10)/3)/(1+3.63*(((計算!$C$20)*2.2046226218)+2)^5.2/((((K21)/2.54)+1)^8.46*(2)^3.52))-LOG10((4.5-計算!$H$10)/3)/(1+3.63*(18+1)^5.2/((((K21)/2.54)+1)^8.46))))),10^(-(4.62*LOG10(19)-4.62*LOG10(((計算!$C$20)*2.2046226218)+MATCH(計算!$B$20,{"單軸","雙軸","三軸"},0))+3.28*LOG10(MATCH(計算!$B$20,{"單軸","雙軸","三軸"},0))+LOG10((4.5-計算!$H$10)/3)/(1+3.63*(((計算!$C$20)*2.2046226218)+MATCH(計算!$B$20,{"單軸","雙軸","三軸"},0))^5.2/((((K21)/2.54)+1)^8.46*(MATCH(計算!$B$20,{"單軸","雙軸","三軸"},0))^3.52))-LOG10((4.5-計算!$H$10)/3)/(1+3.63*(18+1)^5.2/((((K21)/2.54)+1)^8.46))))))+IF(OR(計算!$C$21=0,計算!$B$21="無"),0,IF(計算!$B$21="雙前軸",MAX(2*10^(-(4.62*LOG10(19)-4.62*LOG10(((計算!$C$21/2)*2.2046226218)+1)+3.28*LOG10(1)+LOG10((4.5-計算!$H$10)/3)/(1+3.63*(((計算!$C$21/2)*2.2046226218)+1)^5.2/((((K21)/2.54)+1)^8.46*(1)^3.52))-LOG10((4.5-計算!$H$10)/3)/(1+3.63*(18+1)^5.2/((((K21)/2.54)+1)^8.46)))),10^(-(4.62*LOG10(19)-4.62*LOG10(((計算!$C$21)*2.2046226218)+2)+3.28*LOG10(2)+LOG10((4.5-計算!$H$10)/3)/(1+3.63*(((計算!$C$21)*2.2046226218)+2)^5.2/((((K21)/2.54)+1)^8.46*(2)^3.52))-LOG10((4.5-計算!$H$10)/3)/(1+3.63*(18+1)^5.2/((((K21)/2.54)+1)^8.46))))),10^(-(4.62*LOG10(19)-4.62*LOG10(((計算!$C$21)*2.2046226218)+MATCH(計算!$B$21,{"單軸","雙軸","三軸"},0))+3.28*LOG10(MATCH(計算!$B$21,{"單軸","雙軸","三軸"},0))+LOG10((4.5-計算!$H$10)/3)/(1+3.63*(((計算!$C$21)*2.2046226218)+MATCH(計算!$B$21,{"單軸","雙軸","三軸"},0))^5.2/((((K21)/2.54)+1)^8.46*(MATCH(計算!$B$21,{"單軸","雙軸","三軸"},0))^3.52))-LOG10((4.5-計算!$H$10)/3)/(1+3.63*(18+1)^5.2/((((K21)/2.54)+1)^8.46)))))))))</f>
        <v>5.65571865967551</v>
      </c>
      <c r="M21" s="24">
        <f>IF(計算!$F$12&lt;&gt;"有","不設",((4-(VLOOKUP(K21,$A$52:$D$55,2,TRUE)/10)/2.54)*計算!$F$9/3)/($B$69*(0.45*MAX(計算!$D$19:$D$21)/2*1000*(1-15/((計算!$H$8*K21^3/(12*(1-0.15^2)*計算!$F$6))^0.25))/SUMPRODUCT((1-{15,45,75,105,135,165}/((計算!$H$8*K21^3/(12*(1-0.15^2)*計算!$F$6))^0.25))*({15,45,75,105,135,165}&lt;((計算!$H$8*K21^3/(12*(1-0.15^2)*計算!$F$6))^0.25))))*(2+(($B$69*(VLOOKUP(K21,$A$52:$D$55,2,TRUE)/10)/(4*2040000*(PI()*(VLOOKUP(K21,$A$52:$D$55,2,TRUE)/10)^4/64)))^0.25)*0.3)/(4*(($B$69*(VLOOKUP(K21,$A$52:$D$55,2,TRUE)/10)/(4*2040000*(PI()*(VLOOKUP(K21,$A$52:$D$55,2,TRUE)/10)^4/64)))^0.25)^3*2040000*(PI()*(VLOOKUP(K21,$A$52:$D$55,2,TRUE)/10)^4/64))))</f>
        <v>1.75253361602724</v>
      </c>
    </row>
    <row r="22">
      <c r="A22" s="7" t="inlineStr">
        <is>
          <t>良好</t>
        </is>
      </c>
      <c r="B22" s="13" t="inlineStr">
        <is>
          <t>卵礫石層、級配砂礫（壓實）</t>
        </is>
      </c>
      <c r="C22" s="13" t="inlineStr">
        <is>
          <t>400–500</t>
        </is>
      </c>
      <c r="D22" s="20" t="n">
        <v>5</v>
      </c>
      <c r="E22" s="13" t="inlineStr"/>
      <c r="F22" s="13" t="inlineStr"/>
      <c r="G22" s="13" t="inlineStr"/>
      <c r="H22" s="13" t="inlineStr"/>
      <c r="I22" s="13" t="inlineStr">
        <is>
          <t>本案廠區卵礫石屬此級</t>
        </is>
      </c>
      <c r="K22" s="13" t="n">
        <v>31</v>
      </c>
      <c r="L22" s="24">
        <f>IF(計算!$E$22&lt;=0,"—",10^(計算!$H$5*計算!$H$6+7.35*LOG10(((K22)/2.54)+1)-0.06+LOG10((計算!$F$10-計算!$H$10)/3)/(1+1.624E7/(((K22)/2.54)+1)^8.46)+(4.22-0.32*計算!$H$10)*LOG10((計算!$F$8*14.223343307)*計算!$H$7*(((K22)/2.54)^0.75-1.132)/(215.63*計算!$F$7*(((K22)/2.54)^0.75-18.42/((計算!$H$8*14.223343307)/(計算!$F$6*36.127292))^0.25))))/(計算!$B$7*計算!$B$8*計算!$B$9*(IF(OR(計算!$C$19=0,計算!$B$19="無"),0,IF(計算!$B$19="雙前軸",MAX(2*10^(-(4.62*LOG10(19)-4.62*LOG10(((計算!$C$19/2)*2.2046226218)+1)+3.28*LOG10(1)+LOG10((4.5-計算!$H$10)/3)/(1+3.63*(((計算!$C$19/2)*2.2046226218)+1)^5.2/((((K22)/2.54)+1)^8.46*(1)^3.52))-LOG10((4.5-計算!$H$10)/3)/(1+3.63*(18+1)^5.2/((((K22)/2.54)+1)^8.46)))),10^(-(4.62*LOG10(19)-4.62*LOG10(((計算!$C$19)*2.2046226218)+2)+3.28*LOG10(2)+LOG10((4.5-計算!$H$10)/3)/(1+3.63*(((計算!$C$19)*2.2046226218)+2)^5.2/((((K22)/2.54)+1)^8.46*(2)^3.52))-LOG10((4.5-計算!$H$10)/3)/(1+3.63*(18+1)^5.2/((((K22)/2.54)+1)^8.46))))),10^(-(4.62*LOG10(19)-4.62*LOG10(((計算!$C$19)*2.2046226218)+MATCH(計算!$B$19,{"單軸","雙軸","三軸"},0))+3.28*LOG10(MATCH(計算!$B$19,{"單軸","雙軸","三軸"},0))+LOG10((4.5-計算!$H$10)/3)/(1+3.63*(((計算!$C$19)*2.2046226218)+MATCH(計算!$B$19,{"單軸","雙軸","三軸"},0))^5.2/((((K22)/2.54)+1)^8.46*(MATCH(計算!$B$19,{"單軸","雙軸","三軸"},0))^3.52))-LOG10((4.5-計算!$H$10)/3)/(1+3.63*(18+1)^5.2/((((K22)/2.54)+1)^8.46))))))+IF(OR(計算!$C$20=0,計算!$B$20="無"),0,IF(計算!$B$20="雙前軸",MAX(2*10^(-(4.62*LOG10(19)-4.62*LOG10(((計算!$C$20/2)*2.2046226218)+1)+3.28*LOG10(1)+LOG10((4.5-計算!$H$10)/3)/(1+3.63*(((計算!$C$20/2)*2.2046226218)+1)^5.2/((((K22)/2.54)+1)^8.46*(1)^3.52))-LOG10((4.5-計算!$H$10)/3)/(1+3.63*(18+1)^5.2/((((K22)/2.54)+1)^8.46)))),10^(-(4.62*LOG10(19)-4.62*LOG10(((計算!$C$20)*2.2046226218)+2)+3.28*LOG10(2)+LOG10((4.5-計算!$H$10)/3)/(1+3.63*(((計算!$C$20)*2.2046226218)+2)^5.2/((((K22)/2.54)+1)^8.46*(2)^3.52))-LOG10((4.5-計算!$H$10)/3)/(1+3.63*(18+1)^5.2/((((K22)/2.54)+1)^8.46))))),10^(-(4.62*LOG10(19)-4.62*LOG10(((計算!$C$20)*2.2046226218)+MATCH(計算!$B$20,{"單軸","雙軸","三軸"},0))+3.28*LOG10(MATCH(計算!$B$20,{"單軸","雙軸","三軸"},0))+LOG10((4.5-計算!$H$10)/3)/(1+3.63*(((計算!$C$20)*2.2046226218)+MATCH(計算!$B$20,{"單軸","雙軸","三軸"},0))^5.2/((((K22)/2.54)+1)^8.46*(MATCH(計算!$B$20,{"單軸","雙軸","三軸"},0))^3.52))-LOG10((4.5-計算!$H$10)/3)/(1+3.63*(18+1)^5.2/((((K22)/2.54)+1)^8.46))))))+IF(OR(計算!$C$21=0,計算!$B$21="無"),0,IF(計算!$B$21="雙前軸",MAX(2*10^(-(4.62*LOG10(19)-4.62*LOG10(((計算!$C$21/2)*2.2046226218)+1)+3.28*LOG10(1)+LOG10((4.5-計算!$H$10)/3)/(1+3.63*(((計算!$C$21/2)*2.2046226218)+1)^5.2/((((K22)/2.54)+1)^8.46*(1)^3.52))-LOG10((4.5-計算!$H$10)/3)/(1+3.63*(18+1)^5.2/((((K22)/2.54)+1)^8.46)))),10^(-(4.62*LOG10(19)-4.62*LOG10(((計算!$C$21)*2.2046226218)+2)+3.28*LOG10(2)+LOG10((4.5-計算!$H$10)/3)/(1+3.63*(((計算!$C$21)*2.2046226218)+2)^5.2/((((K22)/2.54)+1)^8.46*(2)^3.52))-LOG10((4.5-計算!$H$10)/3)/(1+3.63*(18+1)^5.2/((((K22)/2.54)+1)^8.46))))),10^(-(4.62*LOG10(19)-4.62*LOG10(((計算!$C$21)*2.2046226218)+MATCH(計算!$B$21,{"單軸","雙軸","三軸"},0))+3.28*LOG10(MATCH(計算!$B$21,{"單軸","雙軸","三軸"},0))+LOG10((4.5-計算!$H$10)/3)/(1+3.63*(((計算!$C$21)*2.2046226218)+MATCH(計算!$B$21,{"單軸","雙軸","三軸"},0))^5.2/((((K22)/2.54)+1)^8.46*(MATCH(計算!$B$21,{"單軸","雙軸","三軸"},0))^3.52))-LOG10((4.5-計算!$H$10)/3)/(1+3.63*(18+1)^5.2/((((K22)/2.54)+1)^8.46)))))))))</f>
        <v>6.90114222978348</v>
      </c>
      <c r="M22" s="24">
        <f>IF(計算!$F$12&lt;&gt;"有","不設",((4-(VLOOKUP(K22,$A$52:$D$55,2,TRUE)/10)/2.54)*計算!$F$9/3)/($B$69*(0.45*MAX(計算!$D$19:$D$21)/2*1000*(1-15/((計算!$H$8*K22^3/(12*(1-0.15^2)*計算!$F$6))^0.25))/SUMPRODUCT((1-{15,45,75,105,135,165}/((計算!$H$8*K22^3/(12*(1-0.15^2)*計算!$F$6))^0.25))*({15,45,75,105,135,165}&lt;((計算!$H$8*K22^3/(12*(1-0.15^2)*計算!$F$6))^0.25))))*(2+(($B$69*(VLOOKUP(K22,$A$52:$D$55,2,TRUE)/10)/(4*2040000*(PI()*(VLOOKUP(K22,$A$52:$D$55,2,TRUE)/10)^4/64)))^0.25)*0.3)/(4*(($B$69*(VLOOKUP(K22,$A$52:$D$55,2,TRUE)/10)/(4*2040000*(PI()*(VLOOKUP(K22,$A$52:$D$55,2,TRUE)/10)^4/64)))^0.25)^3*2040000*(PI()*(VLOOKUP(K22,$A$52:$D$55,2,TRUE)/10)^4/64))))</f>
        <v>1.79828836438342</v>
      </c>
    </row>
    <row r="23">
      <c r="A23" s="7" t="inlineStr">
        <is>
          <t>普通</t>
        </is>
      </c>
      <c r="B23" s="13" t="inlineStr">
        <is>
          <t>砂、粉土質砂</t>
        </is>
      </c>
      <c r="C23" s="13" t="inlineStr">
        <is>
          <t>250–350</t>
        </is>
      </c>
      <c r="D23" s="20" t="n">
        <v>3.5</v>
      </c>
      <c r="E23" s="13" t="inlineStr"/>
      <c r="F23" s="13" t="inlineStr"/>
      <c r="G23" s="13" t="inlineStr"/>
      <c r="H23" s="13" t="inlineStr"/>
      <c r="I23" s="13" t="inlineStr"/>
      <c r="K23" s="13" t="n">
        <v>32</v>
      </c>
      <c r="L23" s="24">
        <f>IF(計算!$E$22&lt;=0,"—",10^(計算!$H$5*計算!$H$6+7.35*LOG10(((K23)/2.54)+1)-0.06+LOG10((計算!$F$10-計算!$H$10)/3)/(1+1.624E7/(((K23)/2.54)+1)^8.46)+(4.22-0.32*計算!$H$10)*LOG10((計算!$F$8*14.223343307)*計算!$H$7*(((K23)/2.54)^0.75-1.132)/(215.63*計算!$F$7*(((K23)/2.54)^0.75-18.42/((計算!$H$8*14.223343307)/(計算!$F$6*36.127292))^0.25))))/(計算!$B$7*計算!$B$8*計算!$B$9*(IF(OR(計算!$C$19=0,計算!$B$19="無"),0,IF(計算!$B$19="雙前軸",MAX(2*10^(-(4.62*LOG10(19)-4.62*LOG10(((計算!$C$19/2)*2.2046226218)+1)+3.28*LOG10(1)+LOG10((4.5-計算!$H$10)/3)/(1+3.63*(((計算!$C$19/2)*2.2046226218)+1)^5.2/((((K23)/2.54)+1)^8.46*(1)^3.52))-LOG10((4.5-計算!$H$10)/3)/(1+3.63*(18+1)^5.2/((((K23)/2.54)+1)^8.46)))),10^(-(4.62*LOG10(19)-4.62*LOG10(((計算!$C$19)*2.2046226218)+2)+3.28*LOG10(2)+LOG10((4.5-計算!$H$10)/3)/(1+3.63*(((計算!$C$19)*2.2046226218)+2)^5.2/((((K23)/2.54)+1)^8.46*(2)^3.52))-LOG10((4.5-計算!$H$10)/3)/(1+3.63*(18+1)^5.2/((((K23)/2.54)+1)^8.46))))),10^(-(4.62*LOG10(19)-4.62*LOG10(((計算!$C$19)*2.2046226218)+MATCH(計算!$B$19,{"單軸","雙軸","三軸"},0))+3.28*LOG10(MATCH(計算!$B$19,{"單軸","雙軸","三軸"},0))+LOG10((4.5-計算!$H$10)/3)/(1+3.63*(((計算!$C$19)*2.2046226218)+MATCH(計算!$B$19,{"單軸","雙軸","三軸"},0))^5.2/((((K23)/2.54)+1)^8.46*(MATCH(計算!$B$19,{"單軸","雙軸","三軸"},0))^3.52))-LOG10((4.5-計算!$H$10)/3)/(1+3.63*(18+1)^5.2/((((K23)/2.54)+1)^8.46))))))+IF(OR(計算!$C$20=0,計算!$B$20="無"),0,IF(計算!$B$20="雙前軸",MAX(2*10^(-(4.62*LOG10(19)-4.62*LOG10(((計算!$C$20/2)*2.2046226218)+1)+3.28*LOG10(1)+LOG10((4.5-計算!$H$10)/3)/(1+3.63*(((計算!$C$20/2)*2.2046226218)+1)^5.2/((((K23)/2.54)+1)^8.46*(1)^3.52))-LOG10((4.5-計算!$H$10)/3)/(1+3.63*(18+1)^5.2/((((K23)/2.54)+1)^8.46)))),10^(-(4.62*LOG10(19)-4.62*LOG10(((計算!$C$20)*2.2046226218)+2)+3.28*LOG10(2)+LOG10((4.5-計算!$H$10)/3)/(1+3.63*(((計算!$C$20)*2.2046226218)+2)^5.2/((((K23)/2.54)+1)^8.46*(2)^3.52))-LOG10((4.5-計算!$H$10)/3)/(1+3.63*(18+1)^5.2/((((K23)/2.54)+1)^8.46))))),10^(-(4.62*LOG10(19)-4.62*LOG10(((計算!$C$20)*2.2046226218)+MATCH(計算!$B$20,{"單軸","雙軸","三軸"},0))+3.28*LOG10(MATCH(計算!$B$20,{"單軸","雙軸","三軸"},0))+LOG10((4.5-計算!$H$10)/3)/(1+3.63*(((計算!$C$20)*2.2046226218)+MATCH(計算!$B$20,{"單軸","雙軸","三軸"},0))^5.2/((((K23)/2.54)+1)^8.46*(MATCH(計算!$B$20,{"單軸","雙軸","三軸"},0))^3.52))-LOG10((4.5-計算!$H$10)/3)/(1+3.63*(18+1)^5.2/((((K23)/2.54)+1)^8.46))))))+IF(OR(計算!$C$21=0,計算!$B$21="無"),0,IF(計算!$B$21="雙前軸",MAX(2*10^(-(4.62*LOG10(19)-4.62*LOG10(((計算!$C$21/2)*2.2046226218)+1)+3.28*LOG10(1)+LOG10((4.5-計算!$H$10)/3)/(1+3.63*(((計算!$C$21/2)*2.2046226218)+1)^5.2/((((K23)/2.54)+1)^8.46*(1)^3.52))-LOG10((4.5-計算!$H$10)/3)/(1+3.63*(18+1)^5.2/((((K23)/2.54)+1)^8.46)))),10^(-(4.62*LOG10(19)-4.62*LOG10(((計算!$C$21)*2.2046226218)+2)+3.28*LOG10(2)+LOG10((4.5-計算!$H$10)/3)/(1+3.63*(((計算!$C$21)*2.2046226218)+2)^5.2/((((K23)/2.54)+1)^8.46*(2)^3.52))-LOG10((4.5-計算!$H$10)/3)/(1+3.63*(18+1)^5.2/((((K23)/2.54)+1)^8.46))))),10^(-(4.62*LOG10(19)-4.62*LOG10(((計算!$C$21)*2.2046226218)+MATCH(計算!$B$21,{"單軸","雙軸","三軸"},0))+3.28*LOG10(MATCH(計算!$B$21,{"單軸","雙軸","三軸"},0))+LOG10((4.5-計算!$H$10)/3)/(1+3.63*(((計算!$C$21)*2.2046226218)+MATCH(計算!$B$21,{"單軸","雙軸","三軸"},0))^5.2/((((K23)/2.54)+1)^8.46*(MATCH(計算!$B$21,{"單軸","雙軸","三軸"},0))^3.52))-LOG10((4.5-計算!$H$10)/3)/(1+3.63*(18+1)^5.2/((((K23)/2.54)+1)^8.46)))))))))</f>
        <v>8.39371048993023</v>
      </c>
      <c r="M23" s="24">
        <f>IF(計算!$F$12&lt;&gt;"有","不設",((4-(VLOOKUP(K23,$A$52:$D$55,2,TRUE)/10)/2.54)*計算!$F$9/3)/($B$69*(0.45*MAX(計算!$D$19:$D$21)/2*1000*(1-15/((計算!$H$8*K23^3/(12*(1-0.15^2)*計算!$F$6))^0.25))/SUMPRODUCT((1-{15,45,75,105,135,165}/((計算!$H$8*K23^3/(12*(1-0.15^2)*計算!$F$6))^0.25))*({15,45,75,105,135,165}&lt;((計算!$H$8*K23^3/(12*(1-0.15^2)*計算!$F$6))^0.25))))*(2+(($B$69*(VLOOKUP(K23,$A$52:$D$55,2,TRUE)/10)/(4*2040000*(PI()*(VLOOKUP(K23,$A$52:$D$55,2,TRUE)/10)^4/64)))^0.25)*0.3)/(4*(($B$69*(VLOOKUP(K23,$A$52:$D$55,2,TRUE)/10)/(4*2040000*(PI()*(VLOOKUP(K23,$A$52:$D$55,2,TRUE)/10)^4/64)))^0.25)^3*2040000*(PI()*(VLOOKUP(K23,$A$52:$D$55,2,TRUE)/10)^4/64))))</f>
        <v>1.84120528803206</v>
      </c>
    </row>
    <row r="24">
      <c r="A24" s="7" t="inlineStr">
        <is>
          <t>差</t>
        </is>
      </c>
      <c r="B24" s="13" t="inlineStr">
        <is>
          <t>粉土、砂質黏土</t>
        </is>
      </c>
      <c r="C24" s="13" t="inlineStr">
        <is>
          <t>150–250</t>
        </is>
      </c>
      <c r="D24" s="20" t="n">
        <v>2</v>
      </c>
      <c r="E24" s="13" t="inlineStr"/>
      <c r="F24" s="13" t="inlineStr"/>
      <c r="G24" s="13" t="inlineStr"/>
      <c r="H24" s="13" t="inlineStr"/>
      <c r="I24" s="13" t="inlineStr"/>
      <c r="K24" s="13" t="n">
        <v>33</v>
      </c>
      <c r="L24" s="24">
        <f>IF(計算!$E$22&lt;=0,"—",10^(計算!$H$5*計算!$H$6+7.35*LOG10(((K24)/2.54)+1)-0.06+LOG10((計算!$F$10-計算!$H$10)/3)/(1+1.624E7/(((K24)/2.54)+1)^8.46)+(4.22-0.32*計算!$H$10)*LOG10((計算!$F$8*14.223343307)*計算!$H$7*(((K24)/2.54)^0.75-1.132)/(215.63*計算!$F$7*(((K24)/2.54)^0.75-18.42/((計算!$H$8*14.223343307)/(計算!$F$6*36.127292))^0.25))))/(計算!$B$7*計算!$B$8*計算!$B$9*(IF(OR(計算!$C$19=0,計算!$B$19="無"),0,IF(計算!$B$19="雙前軸",MAX(2*10^(-(4.62*LOG10(19)-4.62*LOG10(((計算!$C$19/2)*2.2046226218)+1)+3.28*LOG10(1)+LOG10((4.5-計算!$H$10)/3)/(1+3.63*(((計算!$C$19/2)*2.2046226218)+1)^5.2/((((K24)/2.54)+1)^8.46*(1)^3.52))-LOG10((4.5-計算!$H$10)/3)/(1+3.63*(18+1)^5.2/((((K24)/2.54)+1)^8.46)))),10^(-(4.62*LOG10(19)-4.62*LOG10(((計算!$C$19)*2.2046226218)+2)+3.28*LOG10(2)+LOG10((4.5-計算!$H$10)/3)/(1+3.63*(((計算!$C$19)*2.2046226218)+2)^5.2/((((K24)/2.54)+1)^8.46*(2)^3.52))-LOG10((4.5-計算!$H$10)/3)/(1+3.63*(18+1)^5.2/((((K24)/2.54)+1)^8.46))))),10^(-(4.62*LOG10(19)-4.62*LOG10(((計算!$C$19)*2.2046226218)+MATCH(計算!$B$19,{"單軸","雙軸","三軸"},0))+3.28*LOG10(MATCH(計算!$B$19,{"單軸","雙軸","三軸"},0))+LOG10((4.5-計算!$H$10)/3)/(1+3.63*(((計算!$C$19)*2.2046226218)+MATCH(計算!$B$19,{"單軸","雙軸","三軸"},0))^5.2/((((K24)/2.54)+1)^8.46*(MATCH(計算!$B$19,{"單軸","雙軸","三軸"},0))^3.52))-LOG10((4.5-計算!$H$10)/3)/(1+3.63*(18+1)^5.2/((((K24)/2.54)+1)^8.46))))))+IF(OR(計算!$C$20=0,計算!$B$20="無"),0,IF(計算!$B$20="雙前軸",MAX(2*10^(-(4.62*LOG10(19)-4.62*LOG10(((計算!$C$20/2)*2.2046226218)+1)+3.28*LOG10(1)+LOG10((4.5-計算!$H$10)/3)/(1+3.63*(((計算!$C$20/2)*2.2046226218)+1)^5.2/((((K24)/2.54)+1)^8.46*(1)^3.52))-LOG10((4.5-計算!$H$10)/3)/(1+3.63*(18+1)^5.2/((((K24)/2.54)+1)^8.46)))),10^(-(4.62*LOG10(19)-4.62*LOG10(((計算!$C$20)*2.2046226218)+2)+3.28*LOG10(2)+LOG10((4.5-計算!$H$10)/3)/(1+3.63*(((計算!$C$20)*2.2046226218)+2)^5.2/((((K24)/2.54)+1)^8.46*(2)^3.52))-LOG10((4.5-計算!$H$10)/3)/(1+3.63*(18+1)^5.2/((((K24)/2.54)+1)^8.46))))),10^(-(4.62*LOG10(19)-4.62*LOG10(((計算!$C$20)*2.2046226218)+MATCH(計算!$B$20,{"單軸","雙軸","三軸"},0))+3.28*LOG10(MATCH(計算!$B$20,{"單軸","雙軸","三軸"},0))+LOG10((4.5-計算!$H$10)/3)/(1+3.63*(((計算!$C$20)*2.2046226218)+MATCH(計算!$B$20,{"單軸","雙軸","三軸"},0))^5.2/((((K24)/2.54)+1)^8.46*(MATCH(計算!$B$20,{"單軸","雙軸","三軸"},0))^3.52))-LOG10((4.5-計算!$H$10)/3)/(1+3.63*(18+1)^5.2/((((K24)/2.54)+1)^8.46))))))+IF(OR(計算!$C$21=0,計算!$B$21="無"),0,IF(計算!$B$21="雙前軸",MAX(2*10^(-(4.62*LOG10(19)-4.62*LOG10(((計算!$C$21/2)*2.2046226218)+1)+3.28*LOG10(1)+LOG10((4.5-計算!$H$10)/3)/(1+3.63*(((計算!$C$21/2)*2.2046226218)+1)^5.2/((((K24)/2.54)+1)^8.46*(1)^3.52))-LOG10((4.5-計算!$H$10)/3)/(1+3.63*(18+1)^5.2/((((K24)/2.54)+1)^8.46)))),10^(-(4.62*LOG10(19)-4.62*LOG10(((計算!$C$21)*2.2046226218)+2)+3.28*LOG10(2)+LOG10((4.5-計算!$H$10)/3)/(1+3.63*(((計算!$C$21)*2.2046226218)+2)^5.2/((((K24)/2.54)+1)^8.46*(2)^3.52))-LOG10((4.5-計算!$H$10)/3)/(1+3.63*(18+1)^5.2/((((K24)/2.54)+1)^8.46))))),10^(-(4.62*LOG10(19)-4.62*LOG10(((計算!$C$21)*2.2046226218)+MATCH(計算!$B$21,{"單軸","雙軸","三軸"},0))+3.28*LOG10(MATCH(計算!$B$21,{"單軸","雙軸","三軸"},0))+LOG10((4.5-計算!$H$10)/3)/(1+3.63*(((計算!$C$21)*2.2046226218)+MATCH(計算!$B$21,{"單軸","雙軸","三軸"},0))^5.2/((((K24)/2.54)+1)^8.46*(MATCH(計算!$B$21,{"單軸","雙軸","三軸"},0))^3.52))-LOG10((4.5-計算!$H$10)/3)/(1+3.63*(18+1)^5.2/((((K24)/2.54)+1)^8.46)))))))))</f>
        <v>10.1757113086299</v>
      </c>
      <c r="M24" s="24">
        <f>IF(計算!$F$12&lt;&gt;"有","不設",((4-(VLOOKUP(K24,$A$52:$D$55,2,TRUE)/10)/2.54)*計算!$F$9/3)/($B$69*(0.45*MAX(計算!$D$19:$D$21)/2*1000*(1-15/((計算!$H$8*K24^3/(12*(1-0.15^2)*計算!$F$6))^0.25))/SUMPRODUCT((1-{15,45,75,105,135,165}/((計算!$H$8*K24^3/(12*(1-0.15^2)*計算!$F$6))^0.25))*({15,45,75,105,135,165}&lt;((計算!$H$8*K24^3/(12*(1-0.15^2)*計算!$F$6))^0.25))))*(2+(($B$69*(VLOOKUP(K24,$A$52:$D$55,2,TRUE)/10)/(4*2040000*(PI()*(VLOOKUP(K24,$A$52:$D$55,2,TRUE)/10)^4/64)))^0.25)*0.3)/(4*(($B$69*(VLOOKUP(K24,$A$52:$D$55,2,TRUE)/10)/(4*2040000*(PI()*(VLOOKUP(K24,$A$52:$D$55,2,TRUE)/10)^4/64)))^0.25)^3*2040000*(PI()*(VLOOKUP(K24,$A$52:$D$55,2,TRUE)/10)^4/64))))</f>
        <v>1.88154909222129</v>
      </c>
    </row>
    <row r="25">
      <c r="A25" s="7" t="inlineStr">
        <is>
          <t>很差</t>
        </is>
      </c>
      <c r="B25" s="13" t="inlineStr">
        <is>
          <t>高塑性黏土、軟弱回填</t>
        </is>
      </c>
      <c r="C25" s="13" t="inlineStr">
        <is>
          <t>&lt;150</t>
        </is>
      </c>
      <c r="D25" s="20" t="n">
        <v>1.5</v>
      </c>
      <c r="E25" s="13" t="inlineStr"/>
      <c r="F25" s="13" t="inlineStr"/>
      <c r="G25" s="13" t="inlineStr"/>
      <c r="H25" s="13" t="inlineStr"/>
      <c r="I25" s="13" t="inlineStr">
        <is>
          <t>建議改良或加底層</t>
        </is>
      </c>
      <c r="K25" s="13" t="n">
        <v>34</v>
      </c>
      <c r="L25" s="24">
        <f>IF(計算!$E$22&lt;=0,"—",10^(計算!$H$5*計算!$H$6+7.35*LOG10(((K25)/2.54)+1)-0.06+LOG10((計算!$F$10-計算!$H$10)/3)/(1+1.624E7/(((K25)/2.54)+1)^8.46)+(4.22-0.32*計算!$H$10)*LOG10((計算!$F$8*14.223343307)*計算!$H$7*(((K25)/2.54)^0.75-1.132)/(215.63*計算!$F$7*(((K25)/2.54)^0.75-18.42/((計算!$H$8*14.223343307)/(計算!$F$6*36.127292))^0.25))))/(計算!$B$7*計算!$B$8*計算!$B$9*(IF(OR(計算!$C$19=0,計算!$B$19="無"),0,IF(計算!$B$19="雙前軸",MAX(2*10^(-(4.62*LOG10(19)-4.62*LOG10(((計算!$C$19/2)*2.2046226218)+1)+3.28*LOG10(1)+LOG10((4.5-計算!$H$10)/3)/(1+3.63*(((計算!$C$19/2)*2.2046226218)+1)^5.2/((((K25)/2.54)+1)^8.46*(1)^3.52))-LOG10((4.5-計算!$H$10)/3)/(1+3.63*(18+1)^5.2/((((K25)/2.54)+1)^8.46)))),10^(-(4.62*LOG10(19)-4.62*LOG10(((計算!$C$19)*2.2046226218)+2)+3.28*LOG10(2)+LOG10((4.5-計算!$H$10)/3)/(1+3.63*(((計算!$C$19)*2.2046226218)+2)^5.2/((((K25)/2.54)+1)^8.46*(2)^3.52))-LOG10((4.5-計算!$H$10)/3)/(1+3.63*(18+1)^5.2/((((K25)/2.54)+1)^8.46))))),10^(-(4.62*LOG10(19)-4.62*LOG10(((計算!$C$19)*2.2046226218)+MATCH(計算!$B$19,{"單軸","雙軸","三軸"},0))+3.28*LOG10(MATCH(計算!$B$19,{"單軸","雙軸","三軸"},0))+LOG10((4.5-計算!$H$10)/3)/(1+3.63*(((計算!$C$19)*2.2046226218)+MATCH(計算!$B$19,{"單軸","雙軸","三軸"},0))^5.2/((((K25)/2.54)+1)^8.46*(MATCH(計算!$B$19,{"單軸","雙軸","三軸"},0))^3.52))-LOG10((4.5-計算!$H$10)/3)/(1+3.63*(18+1)^5.2/((((K25)/2.54)+1)^8.46))))))+IF(OR(計算!$C$20=0,計算!$B$20="無"),0,IF(計算!$B$20="雙前軸",MAX(2*10^(-(4.62*LOG10(19)-4.62*LOG10(((計算!$C$20/2)*2.2046226218)+1)+3.28*LOG10(1)+LOG10((4.5-計算!$H$10)/3)/(1+3.63*(((計算!$C$20/2)*2.2046226218)+1)^5.2/((((K25)/2.54)+1)^8.46*(1)^3.52))-LOG10((4.5-計算!$H$10)/3)/(1+3.63*(18+1)^5.2/((((K25)/2.54)+1)^8.46)))),10^(-(4.62*LOG10(19)-4.62*LOG10(((計算!$C$20)*2.2046226218)+2)+3.28*LOG10(2)+LOG10((4.5-計算!$H$10)/3)/(1+3.63*(((計算!$C$20)*2.2046226218)+2)^5.2/((((K25)/2.54)+1)^8.46*(2)^3.52))-LOG10((4.5-計算!$H$10)/3)/(1+3.63*(18+1)^5.2/((((K25)/2.54)+1)^8.46))))),10^(-(4.62*LOG10(19)-4.62*LOG10(((計算!$C$20)*2.2046226218)+MATCH(計算!$B$20,{"單軸","雙軸","三軸"},0))+3.28*LOG10(MATCH(計算!$B$20,{"單軸","雙軸","三軸"},0))+LOG10((4.5-計算!$H$10)/3)/(1+3.63*(((計算!$C$20)*2.2046226218)+MATCH(計算!$B$20,{"單軸","雙軸","三軸"},0))^5.2/((((K25)/2.54)+1)^8.46*(MATCH(計算!$B$20,{"單軸","雙軸","三軸"},0))^3.52))-LOG10((4.5-計算!$H$10)/3)/(1+3.63*(18+1)^5.2/((((K25)/2.54)+1)^8.46))))))+IF(OR(計算!$C$21=0,計算!$B$21="無"),0,IF(計算!$B$21="雙前軸",MAX(2*10^(-(4.62*LOG10(19)-4.62*LOG10(((計算!$C$21/2)*2.2046226218)+1)+3.28*LOG10(1)+LOG10((4.5-計算!$H$10)/3)/(1+3.63*(((計算!$C$21/2)*2.2046226218)+1)^5.2/((((K25)/2.54)+1)^8.46*(1)^3.52))-LOG10((4.5-計算!$H$10)/3)/(1+3.63*(18+1)^5.2/((((K25)/2.54)+1)^8.46)))),10^(-(4.62*LOG10(19)-4.62*LOG10(((計算!$C$21)*2.2046226218)+2)+3.28*LOG10(2)+LOG10((4.5-計算!$H$10)/3)/(1+3.63*(((計算!$C$21)*2.2046226218)+2)^5.2/((((K25)/2.54)+1)^8.46*(2)^3.52))-LOG10((4.5-計算!$H$10)/3)/(1+3.63*(18+1)^5.2/((((K25)/2.54)+1)^8.46))))),10^(-(4.62*LOG10(19)-4.62*LOG10(((計算!$C$21)*2.2046226218)+MATCH(計算!$B$21,{"單軸","雙軸","三軸"},0))+3.28*LOG10(MATCH(計算!$B$21,{"單軸","雙軸","三軸"},0))+LOG10((4.5-計算!$H$10)/3)/(1+3.63*(((計算!$C$21)*2.2046226218)+MATCH(計算!$B$21,{"單軸","雙軸","三軸"},0))^5.2/((((K25)/2.54)+1)^8.46*(MATCH(計算!$B$21,{"單軸","雙軸","三軸"},0))^3.52))-LOG10((4.5-計算!$H$10)/3)/(1+3.63*(18+1)^5.2/((((K25)/2.54)+1)^8.46)))))))))</f>
        <v>12.2946509632398</v>
      </c>
      <c r="M25" s="24">
        <f>IF(計算!$F$12&lt;&gt;"有","不設",((4-(VLOOKUP(K25,$A$52:$D$55,2,TRUE)/10)/2.54)*計算!$F$9/3)/($B$69*(0.45*MAX(計算!$D$19:$D$21)/2*1000*(1-15/((計算!$H$8*K25^3/(12*(1-0.15^2)*計算!$F$6))^0.25))/SUMPRODUCT((1-{15,45,75,105,135,165}/((計算!$H$8*K25^3/(12*(1-0.15^2)*計算!$F$6))^0.25))*({15,45,75,105,135,165}&lt;((計算!$H$8*K25^3/(12*(1-0.15^2)*計算!$F$6))^0.25))))*(2+(($B$69*(VLOOKUP(K25,$A$52:$D$55,2,TRUE)/10)/(4*2040000*(PI()*(VLOOKUP(K25,$A$52:$D$55,2,TRUE)/10)^4/64)))^0.25)*0.3)/(4*(($B$69*(VLOOKUP(K25,$A$52:$D$55,2,TRUE)/10)/(4*2040000*(PI()*(VLOOKUP(K25,$A$52:$D$55,2,TRUE)/10)^4/64)))^0.25)^3*2040000*(PI()*(VLOOKUP(K25,$A$52:$D$55,2,TRUE)/10)^4/64))))</f>
        <v>1.91955209844604</v>
      </c>
    </row>
    <row r="26">
      <c r="A26" s="4" t="inlineStr">
        <is>
          <t>依據：NHI-05-037 表5-46（AASHTO 1993 建議 keff）。採用值約取範圍下限的一半（未做平板試驗、含局部脫空折減，工程判斷）；有級配底層≥15cm 時提高一級。有平板載重試驗時直接改採用值。</t>
        </is>
      </c>
      <c r="K26" s="13" t="n">
        <v>35</v>
      </c>
      <c r="L26" s="24">
        <f>IF(計算!$E$22&lt;=0,"—",10^(計算!$H$5*計算!$H$6+7.35*LOG10(((K26)/2.54)+1)-0.06+LOG10((計算!$F$10-計算!$H$10)/3)/(1+1.624E7/(((K26)/2.54)+1)^8.46)+(4.22-0.32*計算!$H$10)*LOG10((計算!$F$8*14.223343307)*計算!$H$7*(((K26)/2.54)^0.75-1.132)/(215.63*計算!$F$7*(((K26)/2.54)^0.75-18.42/((計算!$H$8*14.223343307)/(計算!$F$6*36.127292))^0.25))))/(計算!$B$7*計算!$B$8*計算!$B$9*(IF(OR(計算!$C$19=0,計算!$B$19="無"),0,IF(計算!$B$19="雙前軸",MAX(2*10^(-(4.62*LOG10(19)-4.62*LOG10(((計算!$C$19/2)*2.2046226218)+1)+3.28*LOG10(1)+LOG10((4.5-計算!$H$10)/3)/(1+3.63*(((計算!$C$19/2)*2.2046226218)+1)^5.2/((((K26)/2.54)+1)^8.46*(1)^3.52))-LOG10((4.5-計算!$H$10)/3)/(1+3.63*(18+1)^5.2/((((K26)/2.54)+1)^8.46)))),10^(-(4.62*LOG10(19)-4.62*LOG10(((計算!$C$19)*2.2046226218)+2)+3.28*LOG10(2)+LOG10((4.5-計算!$H$10)/3)/(1+3.63*(((計算!$C$19)*2.2046226218)+2)^5.2/((((K26)/2.54)+1)^8.46*(2)^3.52))-LOG10((4.5-計算!$H$10)/3)/(1+3.63*(18+1)^5.2/((((K26)/2.54)+1)^8.46))))),10^(-(4.62*LOG10(19)-4.62*LOG10(((計算!$C$19)*2.2046226218)+MATCH(計算!$B$19,{"單軸","雙軸","三軸"},0))+3.28*LOG10(MATCH(計算!$B$19,{"單軸","雙軸","三軸"},0))+LOG10((4.5-計算!$H$10)/3)/(1+3.63*(((計算!$C$19)*2.2046226218)+MATCH(計算!$B$19,{"單軸","雙軸","三軸"},0))^5.2/((((K26)/2.54)+1)^8.46*(MATCH(計算!$B$19,{"單軸","雙軸","三軸"},0))^3.52))-LOG10((4.5-計算!$H$10)/3)/(1+3.63*(18+1)^5.2/((((K26)/2.54)+1)^8.46))))))+IF(OR(計算!$C$20=0,計算!$B$20="無"),0,IF(計算!$B$20="雙前軸",MAX(2*10^(-(4.62*LOG10(19)-4.62*LOG10(((計算!$C$20/2)*2.2046226218)+1)+3.28*LOG10(1)+LOG10((4.5-計算!$H$10)/3)/(1+3.63*(((計算!$C$20/2)*2.2046226218)+1)^5.2/((((K26)/2.54)+1)^8.46*(1)^3.52))-LOG10((4.5-計算!$H$10)/3)/(1+3.63*(18+1)^5.2/((((K26)/2.54)+1)^8.46)))),10^(-(4.62*LOG10(19)-4.62*LOG10(((計算!$C$20)*2.2046226218)+2)+3.28*LOG10(2)+LOG10((4.5-計算!$H$10)/3)/(1+3.63*(((計算!$C$20)*2.2046226218)+2)^5.2/((((K26)/2.54)+1)^8.46*(2)^3.52))-LOG10((4.5-計算!$H$10)/3)/(1+3.63*(18+1)^5.2/((((K26)/2.54)+1)^8.46))))),10^(-(4.62*LOG10(19)-4.62*LOG10(((計算!$C$20)*2.2046226218)+MATCH(計算!$B$20,{"單軸","雙軸","三軸"},0))+3.28*LOG10(MATCH(計算!$B$20,{"單軸","雙軸","三軸"},0))+LOG10((4.5-計算!$H$10)/3)/(1+3.63*(((計算!$C$20)*2.2046226218)+MATCH(計算!$B$20,{"單軸","雙軸","三軸"},0))^5.2/((((K26)/2.54)+1)^8.46*(MATCH(計算!$B$20,{"單軸","雙軸","三軸"},0))^3.52))-LOG10((4.5-計算!$H$10)/3)/(1+3.63*(18+1)^5.2/((((K26)/2.54)+1)^8.46))))))+IF(OR(計算!$C$21=0,計算!$B$21="無"),0,IF(計算!$B$21="雙前軸",MAX(2*10^(-(4.62*LOG10(19)-4.62*LOG10(((計算!$C$21/2)*2.2046226218)+1)+3.28*LOG10(1)+LOG10((4.5-計算!$H$10)/3)/(1+3.63*(((計算!$C$21/2)*2.2046226218)+1)^5.2/((((K26)/2.54)+1)^8.46*(1)^3.52))-LOG10((4.5-計算!$H$10)/3)/(1+3.63*(18+1)^5.2/((((K26)/2.54)+1)^8.46)))),10^(-(4.62*LOG10(19)-4.62*LOG10(((計算!$C$21)*2.2046226218)+2)+3.28*LOG10(2)+LOG10((4.5-計算!$H$10)/3)/(1+3.63*(((計算!$C$21)*2.2046226218)+2)^5.2/((((K26)/2.54)+1)^8.46*(2)^3.52))-LOG10((4.5-計算!$H$10)/3)/(1+3.63*(18+1)^5.2/((((K26)/2.54)+1)^8.46))))),10^(-(4.62*LOG10(19)-4.62*LOG10(((計算!$C$21)*2.2046226218)+MATCH(計算!$B$21,{"單軸","雙軸","三軸"},0))+3.28*LOG10(MATCH(計算!$B$21,{"單軸","雙軸","三軸"},0))+LOG10((4.5-計算!$H$10)/3)/(1+3.63*(((計算!$C$21)*2.2046226218)+MATCH(計算!$B$21,{"單軸","雙軸","三軸"},0))^5.2/((((K26)/2.54)+1)^8.46*(MATCH(計算!$B$21,{"單軸","雙軸","三軸"},0))^3.52))-LOG10((4.5-計算!$H$10)/3)/(1+3.63*(18+1)^5.2/((((K26)/2.54)+1)^8.46)))))))))</f>
        <v>14.8037809398487</v>
      </c>
      <c r="M26" s="24">
        <f>IF(計算!$F$12&lt;&gt;"有","不設",((4-(VLOOKUP(K26,$A$52:$D$55,2,TRUE)/10)/2.54)*計算!$F$9/3)/($B$69*(0.45*MAX(計算!$D$19:$D$21)/2*1000*(1-15/((計算!$H$8*K26^3/(12*(1-0.15^2)*計算!$F$6))^0.25))/SUMPRODUCT((1-{15,45,75,105,135,165}/((計算!$H$8*K26^3/(12*(1-0.15^2)*計算!$F$6))^0.25))*({15,45,75,105,135,165}&lt;((計算!$H$8*K26^3/(12*(1-0.15^2)*計算!$F$6))^0.25))))*(2+(($B$69*(VLOOKUP(K26,$A$52:$D$55,2,TRUE)/10)/(4*2040000*(PI()*(VLOOKUP(K26,$A$52:$D$55,2,TRUE)/10)^4/64)))^0.25)*0.3)/(4*(($B$69*(VLOOKUP(K26,$A$52:$D$55,2,TRUE)/10)/(4*2040000*(PI()*(VLOOKUP(K26,$A$52:$D$55,2,TRUE)/10)^4/64)))^0.25)^3*2040000*(PI()*(VLOOKUP(K26,$A$52:$D$55,2,TRUE)/10)^4/64))))</f>
        <v>1.95541908565381</v>
      </c>
    </row>
    <row r="27">
      <c r="A27" s="22" t="inlineStr">
        <is>
          <t>表4　板側邊與傳力桿 → 荷重傳遞係數 J</t>
        </is>
      </c>
      <c r="B27" s="23" t="n"/>
      <c r="C27" s="23" t="n"/>
      <c r="D27" s="23" t="n"/>
      <c r="E27" s="23" t="n"/>
      <c r="F27" s="23" t="n"/>
      <c r="G27" s="23" t="n"/>
      <c r="H27" s="23" t="n"/>
      <c r="I27" s="23" t="n"/>
      <c r="K27" s="13" t="n">
        <v>36</v>
      </c>
      <c r="L27" s="24">
        <f>IF(計算!$E$22&lt;=0,"—",10^(計算!$H$5*計算!$H$6+7.35*LOG10(((K27)/2.54)+1)-0.06+LOG10((計算!$F$10-計算!$H$10)/3)/(1+1.624E7/(((K27)/2.54)+1)^8.46)+(4.22-0.32*計算!$H$10)*LOG10((計算!$F$8*14.223343307)*計算!$H$7*(((K27)/2.54)^0.75-1.132)/(215.63*計算!$F$7*(((K27)/2.54)^0.75-18.42/((計算!$H$8*14.223343307)/(計算!$F$6*36.127292))^0.25))))/(計算!$B$7*計算!$B$8*計算!$B$9*(IF(OR(計算!$C$19=0,計算!$B$19="無"),0,IF(計算!$B$19="雙前軸",MAX(2*10^(-(4.62*LOG10(19)-4.62*LOG10(((計算!$C$19/2)*2.2046226218)+1)+3.28*LOG10(1)+LOG10((4.5-計算!$H$10)/3)/(1+3.63*(((計算!$C$19/2)*2.2046226218)+1)^5.2/((((K27)/2.54)+1)^8.46*(1)^3.52))-LOG10((4.5-計算!$H$10)/3)/(1+3.63*(18+1)^5.2/((((K27)/2.54)+1)^8.46)))),10^(-(4.62*LOG10(19)-4.62*LOG10(((計算!$C$19)*2.2046226218)+2)+3.28*LOG10(2)+LOG10((4.5-計算!$H$10)/3)/(1+3.63*(((計算!$C$19)*2.2046226218)+2)^5.2/((((K27)/2.54)+1)^8.46*(2)^3.52))-LOG10((4.5-計算!$H$10)/3)/(1+3.63*(18+1)^5.2/((((K27)/2.54)+1)^8.46))))),10^(-(4.62*LOG10(19)-4.62*LOG10(((計算!$C$19)*2.2046226218)+MATCH(計算!$B$19,{"單軸","雙軸","三軸"},0))+3.28*LOG10(MATCH(計算!$B$19,{"單軸","雙軸","三軸"},0))+LOG10((4.5-計算!$H$10)/3)/(1+3.63*(((計算!$C$19)*2.2046226218)+MATCH(計算!$B$19,{"單軸","雙軸","三軸"},0))^5.2/((((K27)/2.54)+1)^8.46*(MATCH(計算!$B$19,{"單軸","雙軸","三軸"},0))^3.52))-LOG10((4.5-計算!$H$10)/3)/(1+3.63*(18+1)^5.2/((((K27)/2.54)+1)^8.46))))))+IF(OR(計算!$C$20=0,計算!$B$20="無"),0,IF(計算!$B$20="雙前軸",MAX(2*10^(-(4.62*LOG10(19)-4.62*LOG10(((計算!$C$20/2)*2.2046226218)+1)+3.28*LOG10(1)+LOG10((4.5-計算!$H$10)/3)/(1+3.63*(((計算!$C$20/2)*2.2046226218)+1)^5.2/((((K27)/2.54)+1)^8.46*(1)^3.52))-LOG10((4.5-計算!$H$10)/3)/(1+3.63*(18+1)^5.2/((((K27)/2.54)+1)^8.46)))),10^(-(4.62*LOG10(19)-4.62*LOG10(((計算!$C$20)*2.2046226218)+2)+3.28*LOG10(2)+LOG10((4.5-計算!$H$10)/3)/(1+3.63*(((計算!$C$20)*2.2046226218)+2)^5.2/((((K27)/2.54)+1)^8.46*(2)^3.52))-LOG10((4.5-計算!$H$10)/3)/(1+3.63*(18+1)^5.2/((((K27)/2.54)+1)^8.46))))),10^(-(4.62*LOG10(19)-4.62*LOG10(((計算!$C$20)*2.2046226218)+MATCH(計算!$B$20,{"單軸","雙軸","三軸"},0))+3.28*LOG10(MATCH(計算!$B$20,{"單軸","雙軸","三軸"},0))+LOG10((4.5-計算!$H$10)/3)/(1+3.63*(((計算!$C$20)*2.2046226218)+MATCH(計算!$B$20,{"單軸","雙軸","三軸"},0))^5.2/((((K27)/2.54)+1)^8.46*(MATCH(計算!$B$20,{"單軸","雙軸","三軸"},0))^3.52))-LOG10((4.5-計算!$H$10)/3)/(1+3.63*(18+1)^5.2/((((K27)/2.54)+1)^8.46))))))+IF(OR(計算!$C$21=0,計算!$B$21="無"),0,IF(計算!$B$21="雙前軸",MAX(2*10^(-(4.62*LOG10(19)-4.62*LOG10(((計算!$C$21/2)*2.2046226218)+1)+3.28*LOG10(1)+LOG10((4.5-計算!$H$10)/3)/(1+3.63*(((計算!$C$21/2)*2.2046226218)+1)^5.2/((((K27)/2.54)+1)^8.46*(1)^3.52))-LOG10((4.5-計算!$H$10)/3)/(1+3.63*(18+1)^5.2/((((K27)/2.54)+1)^8.46)))),10^(-(4.62*LOG10(19)-4.62*LOG10(((計算!$C$21)*2.2046226218)+2)+3.28*LOG10(2)+LOG10((4.5-計算!$H$10)/3)/(1+3.63*(((計算!$C$21)*2.2046226218)+2)^5.2/((((K27)/2.54)+1)^8.46*(2)^3.52))-LOG10((4.5-計算!$H$10)/3)/(1+3.63*(18+1)^5.2/((((K27)/2.54)+1)^8.46))))),10^(-(4.62*LOG10(19)-4.62*LOG10(((計算!$C$21)*2.2046226218)+MATCH(計算!$B$21,{"單軸","雙軸","三軸"},0))+3.28*LOG10(MATCH(計算!$B$21,{"單軸","雙軸","三軸"},0))+LOG10((4.5-計算!$H$10)/3)/(1+3.63*(((計算!$C$21)*2.2046226218)+MATCH(計算!$B$21,{"單軸","雙軸","三軸"},0))^5.2/((((K27)/2.54)+1)^8.46*(MATCH(計算!$B$21,{"單軸","雙軸","三軸"},0))^3.52))-LOG10((4.5-計算!$H$10)/3)/(1+3.63*(18+1)^5.2/((((K27)/2.54)+1)^8.46)))))))))</f>
        <v>17.7626768448868</v>
      </c>
      <c r="M27" s="24">
        <f>IF(計算!$F$12&lt;&gt;"有","不設",((4-(VLOOKUP(K27,$A$52:$D$55,2,TRUE)/10)/2.54)*計算!$F$9/3)/($B$69*(0.45*MAX(計算!$D$19:$D$21)/2*1000*(1-15/((計算!$H$8*K27^3/(12*(1-0.15^2)*計算!$F$6))^0.25))/SUMPRODUCT((1-{15,45,75,105,135,165}/((計算!$H$8*K27^3/(12*(1-0.15^2)*計算!$F$6))^0.25))*({15,45,75,105,135,165}&lt;((計算!$H$8*K27^3/(12*(1-0.15^2)*計算!$F$6))^0.25))))*(2+(($B$69*(VLOOKUP(K27,$A$52:$D$55,2,TRUE)/10)/(4*2040000*(PI()*(VLOOKUP(K27,$A$52:$D$55,2,TRUE)/10)^4/64)))^0.25)*0.3)/(4*(($B$69*(VLOOKUP(K27,$A$52:$D$55,2,TRUE)/10)/(4*2040000*(PI()*(VLOOKUP(K27,$A$52:$D$55,2,TRUE)/10)^4/64)))^0.25)^3*2040000*(PI()*(VLOOKUP(K27,$A$52:$D$55,2,TRUE)/10)^4/64))))</f>
        <v>1.98933128444523</v>
      </c>
    </row>
    <row r="28">
      <c r="A28" s="5" t="inlineStr">
        <is>
          <t>型式</t>
        </is>
      </c>
      <c r="B28" s="5" t="inlineStr">
        <is>
          <t>AASHTO範圍</t>
        </is>
      </c>
      <c r="C28" s="5" t="inlineStr">
        <is>
          <t>採用J</t>
        </is>
      </c>
      <c r="D28" s="5" t="inlineStr">
        <is>
          <t>傳力桿</t>
        </is>
      </c>
      <c r="E28" s="5" t="inlineStr"/>
      <c r="F28" s="5" t="inlineStr"/>
      <c r="G28" s="5" t="inlineStr"/>
      <c r="H28" s="5" t="inlineStr"/>
      <c r="I28" s="5" t="inlineStr">
        <is>
          <t>說明</t>
        </is>
      </c>
      <c r="K28" s="13" t="n">
        <v>37</v>
      </c>
      <c r="L28" s="24">
        <f>IF(計算!$E$22&lt;=0,"—",10^(計算!$H$5*計算!$H$6+7.35*LOG10(((K28)/2.54)+1)-0.06+LOG10((計算!$F$10-計算!$H$10)/3)/(1+1.624E7/(((K28)/2.54)+1)^8.46)+(4.22-0.32*計算!$H$10)*LOG10((計算!$F$8*14.223343307)*計算!$H$7*(((K28)/2.54)^0.75-1.132)/(215.63*計算!$F$7*(((K28)/2.54)^0.75-18.42/((計算!$H$8*14.223343307)/(計算!$F$6*36.127292))^0.25))))/(計算!$B$7*計算!$B$8*計算!$B$9*(IF(OR(計算!$C$19=0,計算!$B$19="無"),0,IF(計算!$B$19="雙前軸",MAX(2*10^(-(4.62*LOG10(19)-4.62*LOG10(((計算!$C$19/2)*2.2046226218)+1)+3.28*LOG10(1)+LOG10((4.5-計算!$H$10)/3)/(1+3.63*(((計算!$C$19/2)*2.2046226218)+1)^5.2/((((K28)/2.54)+1)^8.46*(1)^3.52))-LOG10((4.5-計算!$H$10)/3)/(1+3.63*(18+1)^5.2/((((K28)/2.54)+1)^8.46)))),10^(-(4.62*LOG10(19)-4.62*LOG10(((計算!$C$19)*2.2046226218)+2)+3.28*LOG10(2)+LOG10((4.5-計算!$H$10)/3)/(1+3.63*(((計算!$C$19)*2.2046226218)+2)^5.2/((((K28)/2.54)+1)^8.46*(2)^3.52))-LOG10((4.5-計算!$H$10)/3)/(1+3.63*(18+1)^5.2/((((K28)/2.54)+1)^8.46))))),10^(-(4.62*LOG10(19)-4.62*LOG10(((計算!$C$19)*2.2046226218)+MATCH(計算!$B$19,{"單軸","雙軸","三軸"},0))+3.28*LOG10(MATCH(計算!$B$19,{"單軸","雙軸","三軸"},0))+LOG10((4.5-計算!$H$10)/3)/(1+3.63*(((計算!$C$19)*2.2046226218)+MATCH(計算!$B$19,{"單軸","雙軸","三軸"},0))^5.2/((((K28)/2.54)+1)^8.46*(MATCH(計算!$B$19,{"單軸","雙軸","三軸"},0))^3.52))-LOG10((4.5-計算!$H$10)/3)/(1+3.63*(18+1)^5.2/((((K28)/2.54)+1)^8.46))))))+IF(OR(計算!$C$20=0,計算!$B$20="無"),0,IF(計算!$B$20="雙前軸",MAX(2*10^(-(4.62*LOG10(19)-4.62*LOG10(((計算!$C$20/2)*2.2046226218)+1)+3.28*LOG10(1)+LOG10((4.5-計算!$H$10)/3)/(1+3.63*(((計算!$C$20/2)*2.2046226218)+1)^5.2/((((K28)/2.54)+1)^8.46*(1)^3.52))-LOG10((4.5-計算!$H$10)/3)/(1+3.63*(18+1)^5.2/((((K28)/2.54)+1)^8.46)))),10^(-(4.62*LOG10(19)-4.62*LOG10(((計算!$C$20)*2.2046226218)+2)+3.28*LOG10(2)+LOG10((4.5-計算!$H$10)/3)/(1+3.63*(((計算!$C$20)*2.2046226218)+2)^5.2/((((K28)/2.54)+1)^8.46*(2)^3.52))-LOG10((4.5-計算!$H$10)/3)/(1+3.63*(18+1)^5.2/((((K28)/2.54)+1)^8.46))))),10^(-(4.62*LOG10(19)-4.62*LOG10(((計算!$C$20)*2.2046226218)+MATCH(計算!$B$20,{"單軸","雙軸","三軸"},0))+3.28*LOG10(MATCH(計算!$B$20,{"單軸","雙軸","三軸"},0))+LOG10((4.5-計算!$H$10)/3)/(1+3.63*(((計算!$C$20)*2.2046226218)+MATCH(計算!$B$20,{"單軸","雙軸","三軸"},0))^5.2/((((K28)/2.54)+1)^8.46*(MATCH(計算!$B$20,{"單軸","雙軸","三軸"},0))^3.52))-LOG10((4.5-計算!$H$10)/3)/(1+3.63*(18+1)^5.2/((((K28)/2.54)+1)^8.46))))))+IF(OR(計算!$C$21=0,計算!$B$21="無"),0,IF(計算!$B$21="雙前軸",MAX(2*10^(-(4.62*LOG10(19)-4.62*LOG10(((計算!$C$21/2)*2.2046226218)+1)+3.28*LOG10(1)+LOG10((4.5-計算!$H$10)/3)/(1+3.63*(((計算!$C$21/2)*2.2046226218)+1)^5.2/((((K28)/2.54)+1)^8.46*(1)^3.52))-LOG10((4.5-計算!$H$10)/3)/(1+3.63*(18+1)^5.2/((((K28)/2.54)+1)^8.46)))),10^(-(4.62*LOG10(19)-4.62*LOG10(((計算!$C$21)*2.2046226218)+2)+3.28*LOG10(2)+LOG10((4.5-計算!$H$10)/3)/(1+3.63*(((計算!$C$21)*2.2046226218)+2)^5.2/((((K28)/2.54)+1)^8.46*(2)^3.52))-LOG10((4.5-計算!$H$10)/3)/(1+3.63*(18+1)^5.2/((((K28)/2.54)+1)^8.46))))),10^(-(4.62*LOG10(19)-4.62*LOG10(((計算!$C$21)*2.2046226218)+MATCH(計算!$B$21,{"單軸","雙軸","三軸"},0))+3.28*LOG10(MATCH(計算!$B$21,{"單軸","雙軸","三軸"},0))+LOG10((4.5-計算!$H$10)/3)/(1+3.63*(((計算!$C$21)*2.2046226218)+MATCH(計算!$B$21,{"單軸","雙軸","三軸"},0))^5.2/((((K28)/2.54)+1)^8.46*(MATCH(計算!$B$21,{"單軸","雙軸","三軸"},0))^3.52))-LOG10((4.5-計算!$H$10)/3)/(1+3.63*(18+1)^5.2/((((K28)/2.54)+1)^8.46)))))))))</f>
        <v>21.2378593096106</v>
      </c>
      <c r="M28" s="24">
        <f>IF(計算!$F$12&lt;&gt;"有","不設",((4-(VLOOKUP(K28,$A$52:$D$55,2,TRUE)/10)/2.54)*計算!$F$9/3)/($B$69*(0.45*MAX(計算!$D$19:$D$21)/2*1000*(1-15/((計算!$H$8*K28^3/(12*(1-0.15^2)*計算!$F$6))^0.25))/SUMPRODUCT((1-{15,45,75,105,135,165}/((計算!$H$8*K28^3/(12*(1-0.15^2)*計算!$F$6))^0.25))*({15,45,75,105,135,165}&lt;((計算!$H$8*K28^3/(12*(1-0.15^2)*計算!$F$6))^0.25))))*(2+(($B$69*(VLOOKUP(K28,$A$52:$D$55,2,TRUE)/10)/(4*2040000*(PI()*(VLOOKUP(K28,$A$52:$D$55,2,TRUE)/10)^4/64)))^0.25)*0.3)/(4*(($B$69*(VLOOKUP(K28,$A$52:$D$55,2,TRUE)/10)/(4*2040000*(PI()*(VLOOKUP(K28,$A$52:$D$55,2,TRUE)/10)^4/64)))^0.25)^3*2040000*(PI()*(VLOOKUP(K28,$A$52:$D$55,2,TRUE)/10)^4/64))))</f>
        <v>2.02144969273637</v>
      </c>
    </row>
    <row r="29">
      <c r="A29" s="7" t="inlineStr">
        <is>
          <t>無路肩或瀝青路肩＋有傳力桿</t>
        </is>
      </c>
      <c r="B29" s="13" t="inlineStr">
        <is>
          <t>3.2</t>
        </is>
      </c>
      <c r="C29" s="20" t="n">
        <v>3.2</v>
      </c>
      <c r="D29" s="13" t="inlineStr">
        <is>
          <t>有</t>
        </is>
      </c>
      <c r="E29" s="13" t="inlineStr"/>
      <c r="F29" s="13" t="inlineStr"/>
      <c r="G29" s="13" t="inlineStr"/>
      <c r="H29" s="13" t="inlineStr"/>
      <c r="I29" s="13" t="inlineStr">
        <is>
          <t>一般廠區、道路</t>
        </is>
      </c>
      <c r="K29" s="13" t="n">
        <v>38</v>
      </c>
      <c r="L29" s="24">
        <f>IF(計算!$E$22&lt;=0,"—",10^(計算!$H$5*計算!$H$6+7.35*LOG10(((K29)/2.54)+1)-0.06+LOG10((計算!$F$10-計算!$H$10)/3)/(1+1.624E7/(((K29)/2.54)+1)^8.46)+(4.22-0.32*計算!$H$10)*LOG10((計算!$F$8*14.223343307)*計算!$H$7*(((K29)/2.54)^0.75-1.132)/(215.63*計算!$F$7*(((K29)/2.54)^0.75-18.42/((計算!$H$8*14.223343307)/(計算!$F$6*36.127292))^0.25))))/(計算!$B$7*計算!$B$8*計算!$B$9*(IF(OR(計算!$C$19=0,計算!$B$19="無"),0,IF(計算!$B$19="雙前軸",MAX(2*10^(-(4.62*LOG10(19)-4.62*LOG10(((計算!$C$19/2)*2.2046226218)+1)+3.28*LOG10(1)+LOG10((4.5-計算!$H$10)/3)/(1+3.63*(((計算!$C$19/2)*2.2046226218)+1)^5.2/((((K29)/2.54)+1)^8.46*(1)^3.52))-LOG10((4.5-計算!$H$10)/3)/(1+3.63*(18+1)^5.2/((((K29)/2.54)+1)^8.46)))),10^(-(4.62*LOG10(19)-4.62*LOG10(((計算!$C$19)*2.2046226218)+2)+3.28*LOG10(2)+LOG10((4.5-計算!$H$10)/3)/(1+3.63*(((計算!$C$19)*2.2046226218)+2)^5.2/((((K29)/2.54)+1)^8.46*(2)^3.52))-LOG10((4.5-計算!$H$10)/3)/(1+3.63*(18+1)^5.2/((((K29)/2.54)+1)^8.46))))),10^(-(4.62*LOG10(19)-4.62*LOG10(((計算!$C$19)*2.2046226218)+MATCH(計算!$B$19,{"單軸","雙軸","三軸"},0))+3.28*LOG10(MATCH(計算!$B$19,{"單軸","雙軸","三軸"},0))+LOG10((4.5-計算!$H$10)/3)/(1+3.63*(((計算!$C$19)*2.2046226218)+MATCH(計算!$B$19,{"單軸","雙軸","三軸"},0))^5.2/((((K29)/2.54)+1)^8.46*(MATCH(計算!$B$19,{"單軸","雙軸","三軸"},0))^3.52))-LOG10((4.5-計算!$H$10)/3)/(1+3.63*(18+1)^5.2/((((K29)/2.54)+1)^8.46))))))+IF(OR(計算!$C$20=0,計算!$B$20="無"),0,IF(計算!$B$20="雙前軸",MAX(2*10^(-(4.62*LOG10(19)-4.62*LOG10(((計算!$C$20/2)*2.2046226218)+1)+3.28*LOG10(1)+LOG10((4.5-計算!$H$10)/3)/(1+3.63*(((計算!$C$20/2)*2.2046226218)+1)^5.2/((((K29)/2.54)+1)^8.46*(1)^3.52))-LOG10((4.5-計算!$H$10)/3)/(1+3.63*(18+1)^5.2/((((K29)/2.54)+1)^8.46)))),10^(-(4.62*LOG10(19)-4.62*LOG10(((計算!$C$20)*2.2046226218)+2)+3.28*LOG10(2)+LOG10((4.5-計算!$H$10)/3)/(1+3.63*(((計算!$C$20)*2.2046226218)+2)^5.2/((((K29)/2.54)+1)^8.46*(2)^3.52))-LOG10((4.5-計算!$H$10)/3)/(1+3.63*(18+1)^5.2/((((K29)/2.54)+1)^8.46))))),10^(-(4.62*LOG10(19)-4.62*LOG10(((計算!$C$20)*2.2046226218)+MATCH(計算!$B$20,{"單軸","雙軸","三軸"},0))+3.28*LOG10(MATCH(計算!$B$20,{"單軸","雙軸","三軸"},0))+LOG10((4.5-計算!$H$10)/3)/(1+3.63*(((計算!$C$20)*2.2046226218)+MATCH(計算!$B$20,{"單軸","雙軸","三軸"},0))^5.2/((((K29)/2.54)+1)^8.46*(MATCH(計算!$B$20,{"單軸","雙軸","三軸"},0))^3.52))-LOG10((4.5-計算!$H$10)/3)/(1+3.63*(18+1)^5.2/((((K29)/2.54)+1)^8.46))))))+IF(OR(計算!$C$21=0,計算!$B$21="無"),0,IF(計算!$B$21="雙前軸",MAX(2*10^(-(4.62*LOG10(19)-4.62*LOG10(((計算!$C$21/2)*2.2046226218)+1)+3.28*LOG10(1)+LOG10((4.5-計算!$H$10)/3)/(1+3.63*(((計算!$C$21/2)*2.2046226218)+1)^5.2/((((K29)/2.54)+1)^8.46*(1)^3.52))-LOG10((4.5-計算!$H$10)/3)/(1+3.63*(18+1)^5.2/((((K29)/2.54)+1)^8.46)))),10^(-(4.62*LOG10(19)-4.62*LOG10(((計算!$C$21)*2.2046226218)+2)+3.28*LOG10(2)+LOG10((4.5-計算!$H$10)/3)/(1+3.63*(((計算!$C$21)*2.2046226218)+2)^5.2/((((K29)/2.54)+1)^8.46*(2)^3.52))-LOG10((4.5-計算!$H$10)/3)/(1+3.63*(18+1)^5.2/((((K29)/2.54)+1)^8.46))))),10^(-(4.62*LOG10(19)-4.62*LOG10(((計算!$C$21)*2.2046226218)+MATCH(計算!$B$21,{"單軸","雙軸","三軸"},0))+3.28*LOG10(MATCH(計算!$B$21,{"單軸","雙軸","三軸"},0))+LOG10((4.5-計算!$H$10)/3)/(1+3.63*(((計算!$C$21)*2.2046226218)+MATCH(計算!$B$21,{"單軸","雙軸","三軸"},0))^5.2/((((K29)/2.54)+1)^8.46*(MATCH(計算!$B$21,{"單軸","雙軸","三軸"},0))^3.52))-LOG10((4.5-計算!$H$10)/3)/(1+3.63*(18+1)^5.2/((((K29)/2.54)+1)^8.46)))))))))</f>
        <v>25.3034520260369</v>
      </c>
      <c r="M29" s="24">
        <f>IF(計算!$F$12&lt;&gt;"有","不設",((4-(VLOOKUP(K29,$A$52:$D$55,2,TRUE)/10)/2.54)*計算!$F$9/3)/($B$69*(0.45*MAX(計算!$D$19:$D$21)/2*1000*(1-15/((計算!$H$8*K29^3/(12*(1-0.15^2)*計算!$F$6))^0.25))/SUMPRODUCT((1-{15,45,75,105,135,165}/((計算!$H$8*K29^3/(12*(1-0.15^2)*計算!$F$6))^0.25))*({15,45,75,105,135,165}&lt;((計算!$H$8*K29^3/(12*(1-0.15^2)*計算!$F$6))^0.25))))*(2+(($B$69*(VLOOKUP(K29,$A$52:$D$55,2,TRUE)/10)/(4*2040000*(PI()*(VLOOKUP(K29,$A$52:$D$55,2,TRUE)/10)^4/64)))^0.25)*0.3)/(4*(($B$69*(VLOOKUP(K29,$A$52:$D$55,2,TRUE)/10)/(4*2040000*(PI()*(VLOOKUP(K29,$A$52:$D$55,2,TRUE)/10)^4/64)))^0.25)^3*2040000*(PI()*(VLOOKUP(K29,$A$52:$D$55,2,TRUE)/10)^4/64))))</f>
        <v>2.0519178440413</v>
      </c>
    </row>
    <row r="30">
      <c r="A30" s="7" t="inlineStr">
        <is>
          <t>無路肩或瀝青路肩＋無傳力桿</t>
        </is>
      </c>
      <c r="B30" s="13" t="inlineStr">
        <is>
          <t>3.8–4.4</t>
        </is>
      </c>
      <c r="C30" s="20" t="n">
        <v>4.1</v>
      </c>
      <c r="D30" s="13" t="inlineStr">
        <is>
          <t>無</t>
        </is>
      </c>
      <c r="E30" s="13" t="inlineStr"/>
      <c r="F30" s="13" t="inlineStr"/>
      <c r="G30" s="13" t="inlineStr"/>
      <c r="H30" s="13" t="inlineStr"/>
      <c r="I30" s="13" t="inlineStr">
        <is>
          <t>輕交通才考慮</t>
        </is>
      </c>
      <c r="K30" s="13" t="n">
        <v>39</v>
      </c>
      <c r="L30" s="24">
        <f>IF(計算!$E$22&lt;=0,"—",10^(計算!$H$5*計算!$H$6+7.35*LOG10(((K30)/2.54)+1)-0.06+LOG10((計算!$F$10-計算!$H$10)/3)/(1+1.624E7/(((K30)/2.54)+1)^8.46)+(4.22-0.32*計算!$H$10)*LOG10((計算!$F$8*14.223343307)*計算!$H$7*(((K30)/2.54)^0.75-1.132)/(215.63*計算!$F$7*(((K30)/2.54)^0.75-18.42/((計算!$H$8*14.223343307)/(計算!$F$6*36.127292))^0.25))))/(計算!$B$7*計算!$B$8*計算!$B$9*(IF(OR(計算!$C$19=0,計算!$B$19="無"),0,IF(計算!$B$19="雙前軸",MAX(2*10^(-(4.62*LOG10(19)-4.62*LOG10(((計算!$C$19/2)*2.2046226218)+1)+3.28*LOG10(1)+LOG10((4.5-計算!$H$10)/3)/(1+3.63*(((計算!$C$19/2)*2.2046226218)+1)^5.2/((((K30)/2.54)+1)^8.46*(1)^3.52))-LOG10((4.5-計算!$H$10)/3)/(1+3.63*(18+1)^5.2/((((K30)/2.54)+1)^8.46)))),10^(-(4.62*LOG10(19)-4.62*LOG10(((計算!$C$19)*2.2046226218)+2)+3.28*LOG10(2)+LOG10((4.5-計算!$H$10)/3)/(1+3.63*(((計算!$C$19)*2.2046226218)+2)^5.2/((((K30)/2.54)+1)^8.46*(2)^3.52))-LOG10((4.5-計算!$H$10)/3)/(1+3.63*(18+1)^5.2/((((K30)/2.54)+1)^8.46))))),10^(-(4.62*LOG10(19)-4.62*LOG10(((計算!$C$19)*2.2046226218)+MATCH(計算!$B$19,{"單軸","雙軸","三軸"},0))+3.28*LOG10(MATCH(計算!$B$19,{"單軸","雙軸","三軸"},0))+LOG10((4.5-計算!$H$10)/3)/(1+3.63*(((計算!$C$19)*2.2046226218)+MATCH(計算!$B$19,{"單軸","雙軸","三軸"},0))^5.2/((((K30)/2.54)+1)^8.46*(MATCH(計算!$B$19,{"單軸","雙軸","三軸"},0))^3.52))-LOG10((4.5-計算!$H$10)/3)/(1+3.63*(18+1)^5.2/((((K30)/2.54)+1)^8.46))))))+IF(OR(計算!$C$20=0,計算!$B$20="無"),0,IF(計算!$B$20="雙前軸",MAX(2*10^(-(4.62*LOG10(19)-4.62*LOG10(((計算!$C$20/2)*2.2046226218)+1)+3.28*LOG10(1)+LOG10((4.5-計算!$H$10)/3)/(1+3.63*(((計算!$C$20/2)*2.2046226218)+1)^5.2/((((K30)/2.54)+1)^8.46*(1)^3.52))-LOG10((4.5-計算!$H$10)/3)/(1+3.63*(18+1)^5.2/((((K30)/2.54)+1)^8.46)))),10^(-(4.62*LOG10(19)-4.62*LOG10(((計算!$C$20)*2.2046226218)+2)+3.28*LOG10(2)+LOG10((4.5-計算!$H$10)/3)/(1+3.63*(((計算!$C$20)*2.2046226218)+2)^5.2/((((K30)/2.54)+1)^8.46*(2)^3.52))-LOG10((4.5-計算!$H$10)/3)/(1+3.63*(18+1)^5.2/((((K30)/2.54)+1)^8.46))))),10^(-(4.62*LOG10(19)-4.62*LOG10(((計算!$C$20)*2.2046226218)+MATCH(計算!$B$20,{"單軸","雙軸","三軸"},0))+3.28*LOG10(MATCH(計算!$B$20,{"單軸","雙軸","三軸"},0))+LOG10((4.5-計算!$H$10)/3)/(1+3.63*(((計算!$C$20)*2.2046226218)+MATCH(計算!$B$20,{"單軸","雙軸","三軸"},0))^5.2/((((K30)/2.54)+1)^8.46*(MATCH(計算!$B$20,{"單軸","雙軸","三軸"},0))^3.52))-LOG10((4.5-計算!$H$10)/3)/(1+3.63*(18+1)^5.2/((((K30)/2.54)+1)^8.46))))))+IF(OR(計算!$C$21=0,計算!$B$21="無"),0,IF(計算!$B$21="雙前軸",MAX(2*10^(-(4.62*LOG10(19)-4.62*LOG10(((計算!$C$21/2)*2.2046226218)+1)+3.28*LOG10(1)+LOG10((4.5-計算!$H$10)/3)/(1+3.63*(((計算!$C$21/2)*2.2046226218)+1)^5.2/((((K30)/2.54)+1)^8.46*(1)^3.52))-LOG10((4.5-計算!$H$10)/3)/(1+3.63*(18+1)^5.2/((((K30)/2.54)+1)^8.46)))),10^(-(4.62*LOG10(19)-4.62*LOG10(((計算!$C$21)*2.2046226218)+2)+3.28*LOG10(2)+LOG10((4.5-計算!$H$10)/3)/(1+3.63*(((計算!$C$21)*2.2046226218)+2)^5.2/((((K30)/2.54)+1)^8.46*(2)^3.52))-LOG10((4.5-計算!$H$10)/3)/(1+3.63*(18+1)^5.2/((((K30)/2.54)+1)^8.46))))),10^(-(4.62*LOG10(19)-4.62*LOG10(((計算!$C$21)*2.2046226218)+MATCH(計算!$B$21,{"單軸","雙軸","三軸"},0))+3.28*LOG10(MATCH(計算!$B$21,{"單軸","雙軸","三軸"},0))+LOG10((4.5-計算!$H$10)/3)/(1+3.63*(((計算!$C$21)*2.2046226218)+MATCH(計算!$B$21,{"單軸","雙軸","三軸"},0))^5.2/((((K30)/2.54)+1)^8.46*(MATCH(計算!$B$21,{"單軸","雙軸","三軸"},0))^3.52))-LOG10((4.5-計算!$H$10)/3)/(1+3.63*(18+1)^5.2/((((K30)/2.54)+1)^8.46)))))))))</f>
        <v>30.0418754747522</v>
      </c>
      <c r="M30" s="24">
        <f>IF(計算!$F$12&lt;&gt;"有","不設",((4-(VLOOKUP(K30,$A$52:$D$55,2,TRUE)/10)/2.54)*計算!$F$9/3)/($B$69*(0.45*MAX(計算!$D$19:$D$21)/2*1000*(1-15/((計算!$H$8*K30^3/(12*(1-0.15^2)*計算!$F$6))^0.25))/SUMPRODUCT((1-{15,45,75,105,135,165}/((計算!$H$8*K30^3/(12*(1-0.15^2)*計算!$F$6))^0.25))*({15,45,75,105,135,165}&lt;((計算!$H$8*K30^3/(12*(1-0.15^2)*計算!$F$6))^0.25))))*(2+(($B$69*(VLOOKUP(K30,$A$52:$D$55,2,TRUE)/10)/(4*2040000*(PI()*(VLOOKUP(K30,$A$52:$D$55,2,TRUE)/10)^4/64)))^0.25)*0.3)/(4*(($B$69*(VLOOKUP(K30,$A$52:$D$55,2,TRUE)/10)/(4*2040000*(PI()*(VLOOKUP(K30,$A$52:$D$55,2,TRUE)/10)^4/64)))^0.25)^3*2040000*(PI()*(VLOOKUP(K30,$A$52:$D$55,2,TRUE)/10)^4/64))))</f>
        <v>2.08086413128265</v>
      </c>
    </row>
    <row r="31">
      <c r="A31" s="7" t="inlineStr">
        <is>
          <t>繫筋混凝土路肩＋有傳力桿</t>
        </is>
      </c>
      <c r="B31" s="13" t="inlineStr">
        <is>
          <t>2.5–3.1</t>
        </is>
      </c>
      <c r="C31" s="20" t="n">
        <v>2.8</v>
      </c>
      <c r="D31" s="13" t="inlineStr">
        <is>
          <t>有</t>
        </is>
      </c>
      <c r="E31" s="13" t="inlineStr"/>
      <c r="F31" s="13" t="inlineStr"/>
      <c r="G31" s="13" t="inlineStr"/>
      <c r="H31" s="13" t="inlineStr"/>
      <c r="I31" s="13" t="inlineStr">
        <is>
          <t>路肩與車道一體澆置並繫筋</t>
        </is>
      </c>
      <c r="K31" s="13" t="n">
        <v>40</v>
      </c>
      <c r="L31" s="24">
        <f>IF(計算!$E$22&lt;=0,"—",10^(計算!$H$5*計算!$H$6+7.35*LOG10(((K31)/2.54)+1)-0.06+LOG10((計算!$F$10-計算!$H$10)/3)/(1+1.624E7/(((K31)/2.54)+1)^8.46)+(4.22-0.32*計算!$H$10)*LOG10((計算!$F$8*14.223343307)*計算!$H$7*(((K31)/2.54)^0.75-1.132)/(215.63*計算!$F$7*(((K31)/2.54)^0.75-18.42/((計算!$H$8*14.223343307)/(計算!$F$6*36.127292))^0.25))))/(計算!$B$7*計算!$B$8*計算!$B$9*(IF(OR(計算!$C$19=0,計算!$B$19="無"),0,IF(計算!$B$19="雙前軸",MAX(2*10^(-(4.62*LOG10(19)-4.62*LOG10(((計算!$C$19/2)*2.2046226218)+1)+3.28*LOG10(1)+LOG10((4.5-計算!$H$10)/3)/(1+3.63*(((計算!$C$19/2)*2.2046226218)+1)^5.2/((((K31)/2.54)+1)^8.46*(1)^3.52))-LOG10((4.5-計算!$H$10)/3)/(1+3.63*(18+1)^5.2/((((K31)/2.54)+1)^8.46)))),10^(-(4.62*LOG10(19)-4.62*LOG10(((計算!$C$19)*2.2046226218)+2)+3.28*LOG10(2)+LOG10((4.5-計算!$H$10)/3)/(1+3.63*(((計算!$C$19)*2.2046226218)+2)^5.2/((((K31)/2.54)+1)^8.46*(2)^3.52))-LOG10((4.5-計算!$H$10)/3)/(1+3.63*(18+1)^5.2/((((K31)/2.54)+1)^8.46))))),10^(-(4.62*LOG10(19)-4.62*LOG10(((計算!$C$19)*2.2046226218)+MATCH(計算!$B$19,{"單軸","雙軸","三軸"},0))+3.28*LOG10(MATCH(計算!$B$19,{"單軸","雙軸","三軸"},0))+LOG10((4.5-計算!$H$10)/3)/(1+3.63*(((計算!$C$19)*2.2046226218)+MATCH(計算!$B$19,{"單軸","雙軸","三軸"},0))^5.2/((((K31)/2.54)+1)^8.46*(MATCH(計算!$B$19,{"單軸","雙軸","三軸"},0))^3.52))-LOG10((4.5-計算!$H$10)/3)/(1+3.63*(18+1)^5.2/((((K31)/2.54)+1)^8.46))))))+IF(OR(計算!$C$20=0,計算!$B$20="無"),0,IF(計算!$B$20="雙前軸",MAX(2*10^(-(4.62*LOG10(19)-4.62*LOG10(((計算!$C$20/2)*2.2046226218)+1)+3.28*LOG10(1)+LOG10((4.5-計算!$H$10)/3)/(1+3.63*(((計算!$C$20/2)*2.2046226218)+1)^5.2/((((K31)/2.54)+1)^8.46*(1)^3.52))-LOG10((4.5-計算!$H$10)/3)/(1+3.63*(18+1)^5.2/((((K31)/2.54)+1)^8.46)))),10^(-(4.62*LOG10(19)-4.62*LOG10(((計算!$C$20)*2.2046226218)+2)+3.28*LOG10(2)+LOG10((4.5-計算!$H$10)/3)/(1+3.63*(((計算!$C$20)*2.2046226218)+2)^5.2/((((K31)/2.54)+1)^8.46*(2)^3.52))-LOG10((4.5-計算!$H$10)/3)/(1+3.63*(18+1)^5.2/((((K31)/2.54)+1)^8.46))))),10^(-(4.62*LOG10(19)-4.62*LOG10(((計算!$C$20)*2.2046226218)+MATCH(計算!$B$20,{"單軸","雙軸","三軸"},0))+3.28*LOG10(MATCH(計算!$B$20,{"單軸","雙軸","三軸"},0))+LOG10((4.5-計算!$H$10)/3)/(1+3.63*(((計算!$C$20)*2.2046226218)+MATCH(計算!$B$20,{"單軸","雙軸","三軸"},0))^5.2/((((K31)/2.54)+1)^8.46*(MATCH(計算!$B$20,{"單軸","雙軸","三軸"},0))^3.52))-LOG10((4.5-計算!$H$10)/3)/(1+3.63*(18+1)^5.2/((((K31)/2.54)+1)^8.46))))))+IF(OR(計算!$C$21=0,計算!$B$21="無"),0,IF(計算!$B$21="雙前軸",MAX(2*10^(-(4.62*LOG10(19)-4.62*LOG10(((計算!$C$21/2)*2.2046226218)+1)+3.28*LOG10(1)+LOG10((4.5-計算!$H$10)/3)/(1+3.63*(((計算!$C$21/2)*2.2046226218)+1)^5.2/((((K31)/2.54)+1)^8.46*(1)^3.52))-LOG10((4.5-計算!$H$10)/3)/(1+3.63*(18+1)^5.2/((((K31)/2.54)+1)^8.46)))),10^(-(4.62*LOG10(19)-4.62*LOG10(((計算!$C$21)*2.2046226218)+2)+3.28*LOG10(2)+LOG10((4.5-計算!$H$10)/3)/(1+3.63*(((計算!$C$21)*2.2046226218)+2)^5.2/((((K31)/2.54)+1)^8.46*(2)^3.52))-LOG10((4.5-計算!$H$10)/3)/(1+3.63*(18+1)^5.2/((((K31)/2.54)+1)^8.46))))),10^(-(4.62*LOG10(19)-4.62*LOG10(((計算!$C$21)*2.2046226218)+MATCH(計算!$B$21,{"單軸","雙軸","三軸"},0))+3.28*LOG10(MATCH(計算!$B$21,{"單軸","雙軸","三軸"},0))+LOG10((4.5-計算!$H$10)/3)/(1+3.63*(((計算!$C$21)*2.2046226218)+MATCH(計算!$B$21,{"單軸","雙軸","三軸"},0))^5.2/((((K31)/2.54)+1)^8.46*(MATCH(計算!$B$21,{"單軸","雙軸","三軸"},0))^3.52))-LOG10((4.5-計算!$H$10)/3)/(1+3.63*(18+1)^5.2/((((K31)/2.54)+1)^8.46)))))))))</f>
        <v>35.544576844775</v>
      </c>
      <c r="M31" s="24">
        <f>IF(計算!$F$12&lt;&gt;"有","不設",((4-(VLOOKUP(K31,$A$52:$D$55,2,TRUE)/10)/2.54)*計算!$F$9/3)/($B$69*(0.45*MAX(計算!$D$19:$D$21)/2*1000*(1-15/((計算!$H$8*K31^3/(12*(1-0.15^2)*計算!$F$6))^0.25))/SUMPRODUCT((1-{15,45,75,105,135,165}/((計算!$H$8*K31^3/(12*(1-0.15^2)*計算!$F$6))^0.25))*({15,45,75,105,135,165}&lt;((計算!$H$8*K31^3/(12*(1-0.15^2)*計算!$F$6))^0.25))))*(2+(($B$69*(VLOOKUP(K31,$A$52:$D$55,2,TRUE)/10)/(4*2040000*(PI()*(VLOOKUP(K31,$A$52:$D$55,2,TRUE)/10)^4/64)))^0.25)*0.3)/(4*(($B$69*(VLOOKUP(K31,$A$52:$D$55,2,TRUE)/10)/(4*2040000*(PI()*(VLOOKUP(K31,$A$52:$D$55,2,TRUE)/10)^4/64)))^0.25)^3*2040000*(PI()*(VLOOKUP(K31,$A$52:$D$55,2,TRUE)/10)^4/64))))</f>
        <v>2.10840376746215</v>
      </c>
    </row>
    <row r="32">
      <c r="A32" s="7" t="inlineStr">
        <is>
          <t>繫筋混凝土路肩＋無傳力桿</t>
        </is>
      </c>
      <c r="B32" s="13" t="inlineStr">
        <is>
          <t>3.6–4.2</t>
        </is>
      </c>
      <c r="C32" s="20" t="n">
        <v>3.9</v>
      </c>
      <c r="D32" s="13" t="inlineStr">
        <is>
          <t>無</t>
        </is>
      </c>
      <c r="E32" s="13" t="inlineStr"/>
      <c r="F32" s="13" t="inlineStr"/>
      <c r="G32" s="13" t="inlineStr"/>
      <c r="H32" s="13" t="inlineStr"/>
      <c r="I32" s="13" t="inlineStr"/>
    </row>
    <row r="33">
      <c r="A33" s="4" t="inlineStr">
        <is>
          <t>依據：NHI-05-037 表C-4（AASHTO 1993，JPCP/JRCP）；範圍取中值。</t>
        </is>
      </c>
      <c r="K33" s="21" t="inlineStr">
        <is>
          <t>本欄供計算頁「最小需要板厚」使用，勿刪。傳力桿尺寸依表7隨板厚變。</t>
        </is>
      </c>
      <c r="L33" s="14" t="n"/>
      <c r="M33" s="14" t="n"/>
    </row>
    <row r="34">
      <c r="A34" s="22" t="inlineStr">
        <is>
          <t>表5　排水係數 Cd（板下水分排除狀況）</t>
        </is>
      </c>
      <c r="B34" s="23" t="n"/>
      <c r="C34" s="23" t="n"/>
      <c r="D34" s="23" t="n"/>
      <c r="E34" s="23" t="n"/>
      <c r="F34" s="23" t="n"/>
      <c r="G34" s="23" t="n"/>
      <c r="H34" s="23" t="n"/>
      <c r="I34" s="23" t="n"/>
      <c r="K34" s="14" t="n"/>
      <c r="L34" s="14" t="n"/>
      <c r="M34" s="14" t="n"/>
    </row>
    <row r="35">
      <c r="A35" s="5" t="inlineStr">
        <is>
          <t>排水狀況</t>
        </is>
      </c>
      <c r="B35" s="5" t="inlineStr">
        <is>
          <t>AASHTO定義</t>
        </is>
      </c>
      <c r="C35" s="5" t="inlineStr">
        <is>
          <t>採用Cd</t>
        </is>
      </c>
      <c r="D35" s="5" t="inlineStr"/>
      <c r="E35" s="5" t="inlineStr"/>
      <c r="F35" s="5" t="inlineStr"/>
      <c r="G35" s="5" t="inlineStr"/>
      <c r="H35" s="5" t="inlineStr"/>
      <c r="I35" s="5" t="inlineStr">
        <is>
          <t>說明</t>
        </is>
      </c>
      <c r="K35" s="14" t="n"/>
      <c r="L35" s="14" t="n"/>
      <c r="M35" s="14" t="n"/>
    </row>
    <row r="36">
      <c r="A36" s="7" t="inlineStr">
        <is>
          <t>良好</t>
        </is>
      </c>
      <c r="B36" s="13" t="inlineStr">
        <is>
          <t>1天內排除</t>
        </is>
      </c>
      <c r="C36" s="20" t="n">
        <v>1.1</v>
      </c>
      <c r="D36" s="13" t="inlineStr"/>
      <c r="E36" s="13" t="inlineStr"/>
      <c r="F36" s="13" t="inlineStr"/>
      <c r="G36" s="13" t="inlineStr"/>
      <c r="H36" s="13" t="inlineStr"/>
      <c r="I36" s="13" t="inlineStr">
        <is>
          <t>Good、潮濕時間1–5%</t>
        </is>
      </c>
    </row>
    <row r="37">
      <c r="A37" s="7" t="inlineStr">
        <is>
          <t>普通</t>
        </is>
      </c>
      <c r="B37" s="13" t="inlineStr">
        <is>
          <t>1週內排除</t>
        </is>
      </c>
      <c r="C37" s="20" t="n">
        <v>1</v>
      </c>
      <c r="D37" s="13" t="inlineStr"/>
      <c r="E37" s="13" t="inlineStr"/>
      <c r="F37" s="13" t="inlineStr"/>
      <c r="G37" s="13" t="inlineStr"/>
      <c r="H37" s="13" t="inlineStr"/>
      <c r="I37" s="13" t="inlineStr">
        <is>
          <t>Fair、1–5%（預設）</t>
        </is>
      </c>
    </row>
    <row r="38">
      <c r="A38" s="7" t="inlineStr">
        <is>
          <t>不良</t>
        </is>
      </c>
      <c r="B38" s="13" t="inlineStr">
        <is>
          <t>1月內排除</t>
        </is>
      </c>
      <c r="C38" s="20" t="n">
        <v>0.9</v>
      </c>
      <c r="D38" s="13" t="inlineStr"/>
      <c r="E38" s="13" t="inlineStr"/>
      <c r="F38" s="13" t="inlineStr"/>
      <c r="G38" s="13" t="inlineStr"/>
      <c r="H38" s="13" t="inlineStr"/>
      <c r="I38" s="13" t="inlineStr">
        <is>
          <t>Poor、1–5%</t>
        </is>
      </c>
    </row>
    <row r="39">
      <c r="A39" s="4" t="inlineStr">
        <is>
          <t>依據：NHI-05-037 表5-50（AASHTO 1993）。</t>
        </is>
      </c>
    </row>
    <row r="41">
      <c r="A41" s="26" t="inlineStr">
        <is>
          <t>本計算採用排水狀況：</t>
        </is>
      </c>
      <c r="B41" s="8" t="inlineStr">
        <is>
          <t>普通</t>
        </is>
      </c>
    </row>
    <row r="43">
      <c r="A43" s="22" t="inlineStr">
        <is>
          <t>表6　板底摩擦係數 F（拉桿、鋼筋網用）</t>
        </is>
      </c>
      <c r="B43" s="23" t="n"/>
      <c r="C43" s="23" t="n"/>
      <c r="D43" s="23" t="n"/>
      <c r="E43" s="23" t="n"/>
      <c r="F43" s="23" t="n"/>
      <c r="G43" s="23" t="n"/>
      <c r="H43" s="23" t="n"/>
      <c r="I43" s="23" t="n"/>
    </row>
    <row r="44">
      <c r="A44" s="5" t="inlineStr">
        <is>
          <t>板底材料</t>
        </is>
      </c>
      <c r="B44" s="5" t="inlineStr"/>
      <c r="C44" s="5" t="inlineStr">
        <is>
          <t>F</t>
        </is>
      </c>
      <c r="D44" s="5" t="inlineStr"/>
      <c r="E44" s="5" t="inlineStr"/>
      <c r="F44" s="5" t="inlineStr"/>
      <c r="G44" s="5" t="inlineStr"/>
      <c r="H44" s="5" t="inlineStr"/>
      <c r="I44" s="5" t="inlineStr">
        <is>
          <t>說明</t>
        </is>
      </c>
    </row>
    <row r="45">
      <c r="A45" s="7" t="inlineStr">
        <is>
          <t>碎石級配底層</t>
        </is>
      </c>
      <c r="B45" s="13" t="inlineStr"/>
      <c r="C45" s="20" t="n">
        <v>1.5</v>
      </c>
      <c r="D45" s="13" t="inlineStr"/>
      <c r="E45" s="13" t="inlineStr"/>
      <c r="F45" s="13" t="inlineStr"/>
      <c r="G45" s="13" t="inlineStr"/>
      <c r="H45" s="13" t="inlineStr"/>
      <c r="I45" s="13" t="inlineStr">
        <is>
          <t>Crushed stone</t>
        </is>
      </c>
    </row>
    <row r="46">
      <c r="A46" s="7" t="inlineStr">
        <is>
          <t>卵礫石路基（不做底層）</t>
        </is>
      </c>
      <c r="B46" s="13" t="inlineStr"/>
      <c r="C46" s="20" t="n">
        <v>1.5</v>
      </c>
      <c r="D46" s="13" t="inlineStr"/>
      <c r="E46" s="13" t="inlineStr"/>
      <c r="F46" s="13" t="inlineStr"/>
      <c r="G46" s="13" t="inlineStr"/>
      <c r="H46" s="13" t="inlineStr"/>
      <c r="I46" s="13" t="inlineStr">
        <is>
          <t>River gravel</t>
        </is>
      </c>
    </row>
    <row r="47">
      <c r="A47" s="7" t="inlineStr">
        <is>
          <t>一般土壤路基（不做底層）</t>
        </is>
      </c>
      <c r="B47" s="13" t="inlineStr"/>
      <c r="C47" s="20" t="n">
        <v>0.9</v>
      </c>
      <c r="D47" s="13" t="inlineStr"/>
      <c r="E47" s="13" t="inlineStr"/>
      <c r="F47" s="13" t="inlineStr"/>
      <c r="G47" s="13" t="inlineStr"/>
      <c r="H47" s="13" t="inlineStr"/>
      <c r="I47" s="13" t="inlineStr">
        <is>
          <t>Natural subgrade</t>
        </is>
      </c>
    </row>
    <row r="48">
      <c r="A48" s="4" t="inlineStr">
        <is>
          <t>依據：NHI-05-037 表5-47（AASHTO 1993）。</t>
        </is>
      </c>
    </row>
    <row r="50">
      <c r="A50" s="22" t="inlineStr">
        <is>
          <t>表7　光面傳力桿尺寸（依板厚查表）</t>
        </is>
      </c>
      <c r="B50" s="23" t="n"/>
      <c r="C50" s="23" t="n"/>
      <c r="D50" s="23" t="n"/>
      <c r="E50" s="23" t="n"/>
      <c r="F50" s="23" t="n"/>
      <c r="G50" s="23" t="n"/>
      <c r="H50" s="23" t="n"/>
      <c r="I50" s="23" t="n"/>
    </row>
    <row r="51">
      <c r="A51" s="5" t="inlineStr">
        <is>
          <t>板厚下限(cm)</t>
        </is>
      </c>
      <c r="B51" s="5" t="inlineStr">
        <is>
          <t>直徑(mm)</t>
        </is>
      </c>
      <c r="C51" s="5" t="inlineStr">
        <is>
          <t>長度(cm)</t>
        </is>
      </c>
      <c r="D51" s="5" t="inlineStr">
        <is>
          <t>間距(cm)</t>
        </is>
      </c>
      <c r="E51" s="5" t="inlineStr"/>
      <c r="F51" s="5" t="inlineStr"/>
      <c r="G51" s="5" t="inlineStr"/>
      <c r="H51" s="5" t="inlineStr"/>
      <c r="I51" s="5" t="inlineStr">
        <is>
          <t>原表（英制）</t>
        </is>
      </c>
    </row>
    <row r="52">
      <c r="A52" s="36" t="n">
        <v>0</v>
      </c>
      <c r="B52" s="20" t="n">
        <v>19</v>
      </c>
      <c r="C52" s="20" t="n">
        <v>45</v>
      </c>
      <c r="D52" s="20" t="n">
        <v>30</v>
      </c>
      <c r="E52" s="13" t="inlineStr"/>
      <c r="F52" s="13" t="inlineStr"/>
      <c r="G52" s="13" t="inlineStr"/>
      <c r="H52" s="13" t="inlineStr"/>
      <c r="I52" s="13" t="inlineStr">
        <is>
          <t>6–6.5in → 3/4in</t>
        </is>
      </c>
    </row>
    <row r="53">
      <c r="A53" s="36" t="n">
        <v>17</v>
      </c>
      <c r="B53" s="20" t="n">
        <v>25</v>
      </c>
      <c r="C53" s="20" t="n">
        <v>45</v>
      </c>
      <c r="D53" s="20" t="n">
        <v>30</v>
      </c>
      <c r="E53" s="13" t="inlineStr"/>
      <c r="F53" s="13" t="inlineStr"/>
      <c r="G53" s="13" t="inlineStr"/>
      <c r="H53" s="13" t="inlineStr"/>
      <c r="I53" s="13" t="inlineStr">
        <is>
          <t>7–8.5in → 1in</t>
        </is>
      </c>
    </row>
    <row r="54">
      <c r="A54" s="36" t="n">
        <v>22</v>
      </c>
      <c r="B54" s="20" t="n">
        <v>32</v>
      </c>
      <c r="C54" s="20" t="n">
        <v>45</v>
      </c>
      <c r="D54" s="20" t="n">
        <v>30</v>
      </c>
      <c r="E54" s="13" t="inlineStr"/>
      <c r="F54" s="13" t="inlineStr"/>
      <c r="G54" s="13" t="inlineStr"/>
      <c r="H54" s="13" t="inlineStr"/>
      <c r="I54" s="13" t="inlineStr">
        <is>
          <t>9–10.5in → 1-1/4in</t>
        </is>
      </c>
    </row>
    <row r="55">
      <c r="A55" s="36" t="n">
        <v>27</v>
      </c>
      <c r="B55" s="20" t="n">
        <v>38</v>
      </c>
      <c r="C55" s="20" t="n">
        <v>45</v>
      </c>
      <c r="D55" s="20" t="n">
        <v>30</v>
      </c>
      <c r="E55" s="13" t="inlineStr"/>
      <c r="F55" s="13" t="inlineStr"/>
      <c r="G55" s="13" t="inlineStr"/>
      <c r="H55" s="13" t="inlineStr"/>
      <c r="I55" s="13" t="inlineStr">
        <is>
          <t>≥11in → 1-1/2in</t>
        </is>
      </c>
    </row>
    <row r="56">
      <c r="A56" s="4" t="inlineStr">
        <is>
          <t>依據：FDOT Design Standards Index 305 Concrete Pavement Joints（FY2017-18）；FHWA T 5040.30 (2019) p.11：長18in、間距12in、置板厚中央、直徑≥h/8。公分值為換算後取整。</t>
        </is>
      </c>
    </row>
    <row r="57">
      <c r="A57" s="22" t="inlineStr">
        <is>
          <t>表8　固定參數（一般不改）</t>
        </is>
      </c>
      <c r="B57" s="23" t="n"/>
      <c r="C57" s="23" t="n"/>
      <c r="D57" s="23" t="n"/>
      <c r="E57" s="23" t="n"/>
      <c r="F57" s="23" t="n"/>
      <c r="G57" s="23" t="n"/>
      <c r="H57" s="23" t="n"/>
      <c r="I57" s="23" t="n"/>
    </row>
    <row r="58">
      <c r="A58" s="5" t="inlineStr">
        <is>
          <t>參數</t>
        </is>
      </c>
      <c r="B58" s="5" t="inlineStr">
        <is>
          <t>值</t>
        </is>
      </c>
      <c r="C58" s="5" t="inlineStr">
        <is>
          <t>單位</t>
        </is>
      </c>
      <c r="D58" s="5" t="inlineStr"/>
      <c r="E58" s="5" t="inlineStr"/>
      <c r="F58" s="5" t="inlineStr"/>
      <c r="G58" s="5" t="inlineStr"/>
      <c r="H58" s="5" t="inlineStr"/>
      <c r="I58" s="5" t="inlineStr">
        <is>
          <t>依據／說明</t>
        </is>
      </c>
    </row>
    <row r="59">
      <c r="A59" s="7" t="inlineStr">
        <is>
          <t>混凝土抗彎 MR（28天）</t>
        </is>
      </c>
      <c r="B59" s="20" t="n">
        <v>45</v>
      </c>
      <c r="C59" s="13" t="inlineStr">
        <is>
          <t>kgf/cm²</t>
        </is>
      </c>
      <c r="D59" s="13" t="inlineStr"/>
      <c r="E59" s="13" t="inlineStr"/>
      <c r="F59" s="13" t="inlineStr"/>
      <c r="G59" s="13" t="inlineStr"/>
      <c r="H59" s="13" t="inlineStr"/>
      <c r="I59" s="13" t="inlineStr">
        <is>
          <t>市區道路及附屬工程設計規範9.5.2下限（CNS 1233）</t>
        </is>
      </c>
    </row>
    <row r="60">
      <c r="A60" s="7" t="inlineStr">
        <is>
          <t>混凝土抗壓 fc′</t>
        </is>
      </c>
      <c r="B60" s="20" t="n">
        <v>350</v>
      </c>
      <c r="C60" s="13" t="inlineStr">
        <is>
          <t>kgf/cm²</t>
        </is>
      </c>
      <c r="D60" s="13" t="inlineStr"/>
      <c r="E60" s="13" t="inlineStr"/>
      <c r="F60" s="13" t="inlineStr"/>
      <c r="G60" s="13" t="inlineStr"/>
      <c r="H60" s="13" t="inlineStr"/>
      <c r="I60" s="13" t="inlineStr">
        <is>
          <t>設計暫採；非MR45換算，需配比試驗</t>
        </is>
      </c>
    </row>
    <row r="61">
      <c r="A61" s="7" t="inlineStr">
        <is>
          <t>混凝土彈性模數 Ec</t>
        </is>
      </c>
      <c r="B61" s="20" t="n">
        <v>300000</v>
      </c>
      <c r="C61" s="13" t="inlineStr">
        <is>
          <t>kgf/cm²</t>
        </is>
      </c>
      <c r="D61" s="13" t="inlineStr"/>
      <c r="E61" s="13" t="inlineStr"/>
      <c r="F61" s="13" t="inlineStr"/>
      <c r="G61" s="13" t="inlineStr"/>
      <c r="H61" s="13" t="inlineStr"/>
      <c r="I61" s="13" t="inlineStr"/>
    </row>
    <row r="62">
      <c r="A62" s="7" t="inlineStr">
        <is>
          <t>整體標準差 So</t>
        </is>
      </c>
      <c r="B62" s="20" t="n">
        <v>0.35</v>
      </c>
      <c r="C62" s="13" t="inlineStr"/>
      <c r="D62" s="13" t="inlineStr"/>
      <c r="E62" s="13" t="inlineStr"/>
      <c r="F62" s="13" t="inlineStr"/>
      <c r="G62" s="13" t="inlineStr"/>
      <c r="H62" s="13" t="inlineStr"/>
      <c r="I62" s="13" t="inlineStr">
        <is>
          <t>NHI-05-037 p.C-9：剛性0.30–0.45，常用0.35</t>
        </is>
      </c>
    </row>
    <row r="63">
      <c r="A63" s="7" t="inlineStr">
        <is>
          <t>初始服務指數 p₀</t>
        </is>
      </c>
      <c r="B63" s="20" t="n">
        <v>4.4</v>
      </c>
      <c r="C63" s="13" t="inlineStr"/>
      <c r="D63" s="13" t="inlineStr"/>
      <c r="E63" s="13" t="inlineStr"/>
      <c r="F63" s="13" t="inlineStr"/>
      <c r="G63" s="13" t="inlineStr"/>
      <c r="H63" s="13" t="inlineStr"/>
      <c r="I63" s="13" t="inlineStr">
        <is>
          <t>NHI-05-037 附錄C p.C-9（PDF557）：剛性鋪面典型值 4.4</t>
        </is>
      </c>
    </row>
    <row r="64">
      <c r="A64" s="7" t="inlineStr">
        <is>
          <t>終期服務指數 pₜ</t>
        </is>
      </c>
      <c r="B64" s="20" t="n">
        <v>2.5</v>
      </c>
      <c r="C64" s="13" t="inlineStr"/>
      <c r="D64" s="13" t="inlineStr"/>
      <c r="E64" s="13" t="inlineStr"/>
      <c r="F64" s="13" t="inlineStr"/>
      <c r="G64" s="13" t="inlineStr"/>
      <c r="H64" s="13" t="inlineStr"/>
      <c r="I64" s="13" t="inlineStr">
        <is>
          <t>NHI-05-037 p.C-5：主要道路≥2.5</t>
        </is>
      </c>
    </row>
    <row r="65">
      <c r="A65" s="7" t="inlineStr">
        <is>
          <t>竹節拉結筋 fy</t>
        </is>
      </c>
      <c r="B65" s="20" t="n">
        <v>4200</v>
      </c>
      <c r="C65" s="13" t="inlineStr">
        <is>
          <t>kgf/cm²</t>
        </is>
      </c>
      <c r="D65" s="13" t="inlineStr"/>
      <c r="E65" s="13" t="inlineStr"/>
      <c r="F65" s="13" t="inlineStr"/>
      <c r="G65" s="13" t="inlineStr"/>
      <c r="H65" s="13" t="inlineStr"/>
      <c r="I65" s="13" t="inlineStr">
        <is>
          <t>SD420W（僅拉結筋）</t>
        </is>
      </c>
    </row>
    <row r="66">
      <c r="A66" s="7" t="inlineStr">
        <is>
          <t>混凝土單位重 γ</t>
        </is>
      </c>
      <c r="B66" s="37" t="n">
        <v>0.0024</v>
      </c>
      <c r="C66" s="13" t="inlineStr">
        <is>
          <t>kgf/cm³</t>
        </is>
      </c>
      <c r="D66" s="13" t="inlineStr"/>
      <c r="E66" s="13" t="inlineStr"/>
      <c r="F66" s="13" t="inlineStr"/>
      <c r="G66" s="13" t="inlineStr"/>
      <c r="H66" s="13" t="inlineStr"/>
      <c r="I66" s="13" t="inlineStr"/>
    </row>
    <row r="67">
      <c r="A67" s="7" t="inlineStr">
        <is>
          <t>竹節拉結筋 D16 長度</t>
        </is>
      </c>
      <c r="B67" s="20" t="n">
        <v>80</v>
      </c>
      <c r="C67" s="13" t="inlineStr">
        <is>
          <t>cm</t>
        </is>
      </c>
      <c r="D67" s="13" t="inlineStr"/>
      <c r="E67" s="13" t="inlineStr"/>
      <c r="F67" s="13" t="inlineStr"/>
      <c r="G67" s="13" t="inlineStr"/>
      <c r="H67" s="13" t="inlineStr"/>
      <c r="I67" s="13" t="inlineStr">
        <is>
          <t>截面積1.986cm²</t>
        </is>
      </c>
    </row>
    <row r="68">
      <c r="A68" s="7" t="inlineStr">
        <is>
          <t>竹節拉結筋採用間距</t>
        </is>
      </c>
      <c r="B68" s="20" t="n">
        <v>80</v>
      </c>
      <c r="C68" s="13" t="inlineStr">
        <is>
          <t>cm</t>
        </is>
      </c>
      <c r="D68" s="13" t="inlineStr"/>
      <c r="E68" s="13" t="inlineStr"/>
      <c r="F68" s="13" t="inlineStr"/>
      <c r="G68" s="13" t="inlineStr"/>
      <c r="H68" s="13" t="inlineStr"/>
      <c r="I68" s="13" t="inlineStr">
        <is>
          <t>計算表會檢核是否≤最大容許間距</t>
        </is>
      </c>
    </row>
    <row r="69">
      <c r="A69" s="7" t="inlineStr">
        <is>
          <t>傳力桿承壓模數 K₀</t>
        </is>
      </c>
      <c r="B69" s="20" t="n">
        <v>41520</v>
      </c>
      <c r="C69" s="13" t="inlineStr">
        <is>
          <t>kgf/cm³</t>
        </is>
      </c>
      <c r="D69" s="13" t="inlineStr"/>
      <c r="E69" s="13" t="inlineStr"/>
      <c r="F69" s="13" t="inlineStr"/>
      <c r="G69" s="13" t="inlineStr"/>
      <c r="H69" s="13" t="inlineStr"/>
      <c r="I69" s="13" t="inlineStr">
        <is>
          <t>FHWA-HRT-06-106 範圍上限（1.5×10⁶pci），偏保守</t>
        </is>
      </c>
    </row>
    <row r="70">
      <c r="A70" s="4" t="inlineStr">
        <is>
          <t>依據：如上。</t>
        </is>
      </c>
    </row>
  </sheetData>
  <mergeCells count="18">
    <mergeCell ref="A43:I43"/>
    <mergeCell ref="A57:I57"/>
    <mergeCell ref="A19:I19"/>
    <mergeCell ref="A11:I11"/>
    <mergeCell ref="A33:I33"/>
    <mergeCell ref="A10:I10"/>
    <mergeCell ref="K33:M35"/>
    <mergeCell ref="A1:I1"/>
    <mergeCell ref="A18:I18"/>
    <mergeCell ref="A27:I27"/>
    <mergeCell ref="A56:I56"/>
    <mergeCell ref="A3:I3"/>
    <mergeCell ref="A70:I70"/>
    <mergeCell ref="A39:I39"/>
    <mergeCell ref="A34:I34"/>
    <mergeCell ref="A50:I50"/>
    <mergeCell ref="A48:I48"/>
    <mergeCell ref="A26:I26"/>
  </mergeCells>
  <dataValidations count="1">
    <dataValidation sqref="B41" showDropDown="0" showInputMessage="0" showErrorMessage="0" allowBlank="0" type="list">
      <formula1>=$A$36:$A$38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ns1="http://schemas.openxmlformats.org/officeDocument/2006/relationships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26" customWidth="1" min="1" max="1"/>
    <col width="70" customWidth="1" min="2" max="2"/>
    <col width="24" customWidth="1" min="3" max="3"/>
  </cols>
  <sheetData>
    <row r="1">
      <c r="A1" s="1" t="inlineStr">
        <is>
          <t>說明　—　使用方式及歷史35t教學例；本案結果請看計算頁</t>
        </is>
      </c>
    </row>
    <row r="3">
      <c r="A3" s="26" t="inlineStr">
        <is>
          <t>1. 填藍底</t>
        </is>
      </c>
      <c r="B3" s="7" t="inlineStr">
        <is>
          <t>計算頁的車種、總重、車數、年限、道路類別、路基、底層、側邊、車道寬、縮縫間距、板厚。</t>
        </is>
      </c>
      <c r="C3" s="14" t="n"/>
    </row>
    <row r="4">
      <c r="A4" s="26" t="inlineStr">
        <is>
          <t>2. 看結論列</t>
        </is>
      </c>
      <c r="B4" s="7" t="inlineStr">
        <is>
          <t>主表的下限僅為交通/原選桿試算，不是已對該厚度完成全車FE；採用25cm之單次模型與門檻另列。</t>
        </is>
      </c>
      <c r="C4" s="14" t="n"/>
    </row>
    <row r="5">
      <c r="A5" s="26" t="inlineStr">
        <is>
          <t>3. 參數表</t>
        </is>
      </c>
      <c r="B5" s="7" t="inlineStr">
        <is>
          <t>車種軸重比例、可靠度、k 值、J、Cd、傳力桿尺寸、固定參數都在參數表；有實測值或機關規定才改。k 值對照與「有底層升一級」是工程判斷，不是規範查表。</t>
        </is>
      </c>
      <c r="C5" s="14" t="n"/>
    </row>
    <row r="6">
      <c r="A6" s="26" t="inlineStr">
        <is>
          <t>4. 適用範圍</t>
        </is>
      </c>
      <c r="B6" s="7" t="inlineStr">
        <is>
          <t>短板接縫型素混凝土鋪面（縮縫≤24h、長寬比≤1.5）；廠區、地方道路到一般幹道。長板 JRCP、連續鋼筋（CRCP）、機場不適用。輸入不完整或超出範圍時，結論列會顯示紅字而不判合格。</t>
        </is>
      </c>
      <c r="C6" s="14" t="n"/>
    </row>
    <row r="7">
      <c r="A7" s="26" t="inlineStr">
        <is>
          <t>5. p₀ 與 4.5 常數</t>
        </is>
      </c>
      <c r="B7" s="7" t="inlineStr">
        <is>
          <t>p₀＝4.4 是剛鋪好時的服務指數（NHI-05-037 p.C-9）。軸組當量 E 公式裡的 4.5 是 AASHO 道路試驗的基準值，屬公式常數，不是 p₀，不要改。</t>
        </is>
      </c>
      <c r="C7" s="14" t="n"/>
    </row>
    <row r="8">
      <c r="A8" s="26" t="inlineStr">
        <is>
          <t>6. 不做級配底層</t>
        </is>
      </c>
      <c r="B8" s="7" t="inlineStr">
        <is>
          <t>NHI-05-037 PDF34：路基為高品質粗粒料（勁度和底層相當）或交通量&lt;100萬 ESAL 時可省略。超過 100萬時要現場確認：粒料均勻、壓實良好、無黏土夾層或細料囊，局部不良處挖除換填。</t>
        </is>
      </c>
      <c r="C8" s="14" t="n"/>
    </row>
    <row r="10">
      <c r="A10" s="22" t="inlineStr">
        <is>
          <t>歷史35t教學例（原數值保留，非現行載重/全車FE結果，不得作本案通過結論）</t>
        </is>
      </c>
      <c r="B10" s="23" t="n"/>
      <c r="C10" s="23" t="n"/>
    </row>
    <row r="11">
      <c r="A11" s="5" t="inlineStr">
        <is>
          <t>步驟</t>
        </is>
      </c>
      <c r="B11" s="5" t="inlineStr">
        <is>
          <t>算式</t>
        </is>
      </c>
      <c r="C11" s="5" t="inlineStr">
        <is>
          <t>本例數值</t>
        </is>
      </c>
    </row>
    <row r="12" ht="30" customHeight="1">
      <c r="A12" s="26" t="inlineStr">
        <is>
          <t>① 車重分到輪組</t>
        </is>
      </c>
      <c r="B12" s="38" t="inlineStr">
        <is>
          <t>後雙軸 25t → 每軸 12.5t → 每側雙輪組 P＝6.25t（35t 是分散在 14 個輪胎上）</t>
        </is>
      </c>
      <c r="C12" s="13" t="inlineStr">
        <is>
          <t>P＝6,250 kgf</t>
        </is>
      </c>
    </row>
    <row r="13" ht="30" customHeight="1">
      <c r="A13" s="26" t="inlineStr">
        <is>
          <t>② 接地面積</t>
        </is>
      </c>
      <c r="B13" s="38" t="inlineStr">
        <is>
          <t>A＝P/p，輪胎接地壓 p≈7 kgf/cm²；等值圓半徑 a＝√(A/π)</t>
        </is>
      </c>
      <c r="C13" s="13" t="inlineStr">
        <is>
          <t>A＝893 cm²，a＝16.9 cm</t>
        </is>
      </c>
    </row>
    <row r="14" ht="30" customHeight="1">
      <c r="A14" s="26" t="inlineStr">
        <is>
          <t>③ 板的勁度</t>
        </is>
      </c>
      <c r="B14" s="38" t="inlineStr">
        <is>
          <t>D＝E·h³/[12(1−ν²)]</t>
        </is>
      </c>
      <c r="C14" s="13" t="inlineStr">
        <is>
          <t>3.99×10⁸ kgf·cm</t>
        </is>
      </c>
    </row>
    <row r="15" ht="30" customHeight="1">
      <c r="A15" s="26" t="inlineStr">
        <is>
          <t>④ 相對勁度半徑</t>
        </is>
      </c>
      <c r="B15" s="38" t="inlineStr">
        <is>
          <t>ℓ＝(D/k)^¼　（板把荷重攤開的範圍尺度）</t>
        </is>
      </c>
      <c r="C15" s="13" t="inlineStr">
        <is>
          <t>ℓ＝94.6 cm</t>
        </is>
      </c>
    </row>
    <row r="16" ht="30" customHeight="1">
      <c r="A16" s="26" t="inlineStr">
        <is>
          <t>⑤ 板中央沉陷</t>
        </is>
      </c>
      <c r="B16" s="38" t="inlineStr">
        <is>
          <t>w₀＝P/(8·k·ℓ²)</t>
        </is>
      </c>
      <c r="C16" s="13" t="inlineStr">
        <is>
          <t>0.0175 cm（0.17 mm）</t>
        </is>
      </c>
    </row>
    <row r="17" ht="30" customHeight="1">
      <c r="A17" s="26" t="inlineStr">
        <is>
          <t>⑥ 地盤最大反力</t>
        </is>
      </c>
      <c r="B17" s="38" t="inlineStr">
        <is>
          <t>q＝k·w₀；等效受力面積＝P/q＝8ℓ²</t>
        </is>
      </c>
      <c r="C17" s="13" t="inlineStr">
        <is>
          <t>0.087 kgf/cm²；約 7.2 m²</t>
        </is>
      </c>
    </row>
    <row r="18" ht="30" customHeight="1">
      <c r="A18" s="26" t="inlineStr">
        <is>
          <t>⑦ 板中央彎矩</t>
        </is>
      </c>
      <c r="B18" s="38" t="inlineStr">
        <is>
          <t>M＝(1+ν)P/(4π)·[ln(ℓ/b)+0.6159]，b＝√(1.6a²+h²)−0.675h（a&lt;1.724h）</t>
        </is>
      </c>
      <c r="C18" s="13" t="inlineStr">
        <is>
          <t>M≈1,370 kgf·m/m</t>
        </is>
      </c>
    </row>
    <row r="19" ht="30" customHeight="1">
      <c r="A19" s="26" t="inlineStr">
        <is>
          <t>⑧ 板中央應力（板底受拉）</t>
        </is>
      </c>
      <c r="B19" s="38" t="inlineStr">
        <is>
          <t>σi＝6M/h²＝3(1+ν)P/(2πh²)·[ln(ℓ/b)+0.6159]　Westergaard</t>
        </is>
      </c>
      <c r="C19" s="13" t="inlineStr">
        <is>
          <t>13.1 kgf/cm²（MR 的 29%）</t>
        </is>
      </c>
    </row>
    <row r="20" ht="30" customHeight="1">
      <c r="A20" s="26" t="inlineStr">
        <is>
          <t>⑨ 板邊應力（板底受拉）</t>
        </is>
      </c>
      <c r="B20" s="38" t="inlineStr">
        <is>
          <t>σe＝3(1+ν)P/[π(3+ν)h²]·[ln(Eh³/(100ka⁴))+1.84−4ν/3+(1−ν)/2+1.18(1+2ν)a/ℓ]</t>
        </is>
      </c>
      <c r="C20" s="13" t="inlineStr">
        <is>
          <t>24.7 kgf/cm²（55%）</t>
        </is>
      </c>
    </row>
    <row r="21" ht="30" customHeight="1">
      <c r="A21" s="26" t="inlineStr">
        <is>
          <t>⑩ 板角應力（板頂受拉）</t>
        </is>
      </c>
      <c r="B21" s="38" t="inlineStr">
        <is>
          <t>σc＝3P/h²·[1−(a√2/ℓ)^0.72]　Ioannides</t>
        </is>
      </c>
      <c r="C21" s="13" t="inlineStr">
        <is>
          <t>18.9 kgf/cm²（42%）</t>
        </is>
      </c>
    </row>
    <row r="22" ht="30" customHeight="1">
      <c r="A22" s="26" t="inlineStr">
        <is>
          <t>⑪ 有限元素（雙輪＋雙軸，4×3m 板四邊自由）</t>
        </is>
      </c>
      <c r="B22" s="38" t="inlineStr">
        <is>
          <t>Mindlin 板＋Winkler 地基，網格 2.5cm；三個代表載位（見下圖），不是全位置包絡</t>
        </is>
      </c>
      <c r="C22" s="13" t="inlineStr">
        <is>
          <t>板中段外輪貼邊：板底 19.1；靠近板端：板頂 14.7</t>
        </is>
      </c>
    </row>
    <row r="23" ht="30" customHeight="1">
      <c r="A23" s="26" t="inlineStr">
        <is>
          <t>⑫ 對照：若把板當 4m 簡支梁</t>
        </is>
      </c>
      <c r="B23" s="38" t="inlineStr">
        <is>
          <t>M＝P·L/4（取 1m 寬），σ＝6M/(b·h²)</t>
        </is>
      </c>
      <c r="C23" s="13" t="inlineStr">
        <is>
          <t>60 kgf/cm²（會超過 MR45）</t>
        </is>
      </c>
    </row>
    <row r="24" ht="30" customHeight="1">
      <c r="A24" s="26" t="inlineStr">
        <is>
          <t>⑬ 單層筋放板底的貢獻</t>
        </is>
      </c>
      <c r="B24" s="38" t="inlineStr">
        <is>
          <t>換算斷面：D10@20 放在距底 5.5cm，開裂彎矩只 +1.2%；開裂前鋼筋應力約 171 kgf/cm²（fy 的 4%）；開裂後 Mn 約開裂彎矩的 62%</t>
        </is>
      </c>
      <c r="C24" s="13" t="inlineStr">
        <is>
          <t>本表不把鋼筋網計入抗彎</t>
        </is>
      </c>
    </row>
    <row r="25" ht="58" customHeight="1">
      <c r="A25" s="7" t="str">
        <f>"上列為35t歷史教學例；目前輸入 "&amp;計算!B6&amp;"t、採用 "&amp;計算!B16&amp;"cm，交通容量比 "&amp;TEXT(計算!D28,"0.00000")&amp;"；"&amp;IF(計算!D28&lt;1,"交通未通過。","交通通過；仍須完成全部檢核。")&amp;"完整結論以計算頁為準。原例說明：板貼地盤分散輪重，接縫型鋪面版厚不依賴鋼筋網；單次強度不能取代20年反覆交通檢核。"</f>
        <v>上列為35t歷史教學例；目前輸入 38t、採用 25cm，交通容量比 1.97141；交通通過；仍須完成全部檢核。完整結論以計算頁為準。原例說明：板貼地盤分散輪重，接縫型鋪面版厚不依賴鋼筋網；單次強度不能取代20年反覆交通檢核。</v>
      </c>
      <c r="B25" s="14" t="n"/>
      <c r="C25" s="14" t="n"/>
    </row>
  </sheetData>
  <mergeCells count="9">
    <mergeCell ref="A10:C10"/>
    <mergeCell ref="A25:C25"/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  <drawing ns1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2026-10-20T18:07:02Z</dcterms:created>
  <dcterms:modified xmlns:dcterms="http://purl.org/dc/terms/" xmlns:xsi="http://www.w3.org/2001/XMLSchema-instance" xsi:type="dcterms:W3CDTF">2026-10-20T18:07:02Z</dcterms:modified>
</cp:coreProperties>
</file>