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版厚與接縫檢核" sheetId="1" state="visible" r:id="rId1"/>
  </sheets>
  <definedNames>
    <definedName name="_xlnm.Print_Area" localSheetId="0">'版厚與接縫檢核'!$A$1:$H$45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0.000"/>
    <numFmt numFmtId="166" formatCode="0.00&quot;倍&quot;"/>
    <numFmt numFmtId="167" formatCode="0.00000&quot;倍&quot;"/>
    <numFmt numFmtId="168" formatCode="0.00000"/>
  </numFmts>
  <fonts count="8">
    <font>
      <name val="Calibri"/>
      <family val="2"/>
      <color theme="1"/>
      <sz val="11"/>
      <scheme val="minor"/>
    </font>
    <font>
      <name val="微軟正黑體"/>
      <b val="1"/>
      <color rgb="001F3864"/>
      <sz val="15"/>
    </font>
    <font>
      <name val="微軟正黑體"/>
      <b val="1"/>
      <color rgb="00006100"/>
      <sz val="11"/>
    </font>
    <font>
      <name val="微軟正黑體"/>
      <color rgb="00404040"/>
      <sz val="8.5"/>
    </font>
    <font>
      <name val="微軟正黑體"/>
      <b val="1"/>
      <sz val="10"/>
    </font>
    <font>
      <name val="微軟正黑體"/>
      <sz val="10"/>
    </font>
    <font>
      <name val="微軟正黑體"/>
      <b val="1"/>
      <color rgb="00FFFFFF"/>
      <sz val="10.5"/>
    </font>
    <font>
      <name val="Cambria Math"/>
      <color rgb="001F3864"/>
      <sz val="9"/>
    </font>
  </fonts>
  <fills count="7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D9E1F2"/>
      </patternFill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2F5496"/>
      </patternFill>
    </fill>
  </fills>
  <borders count="7">
    <border>
      <left/>
      <right/>
      <top/>
      <bottom/>
      <diagonal/>
    </border>
    <border/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wrapText="1"/>
    </xf>
    <xf numFmtId="0" fontId="0" fillId="2" borderId="2" pivotButton="0" quotePrefix="0" xfId="0"/>
    <xf numFmtId="0" fontId="3" fillId="0" borderId="1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5" fillId="0" borderId="2" applyAlignment="1" pivotButton="0" quotePrefix="0" xfId="0">
      <alignment horizontal="left" vertical="center" wrapText="1"/>
    </xf>
    <xf numFmtId="164" fontId="4" fillId="4" borderId="2" applyAlignment="1" applyProtection="1" pivotButton="0" quotePrefix="0" xfId="0">
      <alignment horizontal="center" vertical="center" wrapText="1"/>
      <protection locked="0" hidden="0"/>
    </xf>
    <xf numFmtId="0" fontId="5" fillId="0" borderId="2" applyAlignment="1" pivotButton="0" quotePrefix="0" xfId="0">
      <alignment horizontal="center" vertical="center" wrapText="1"/>
    </xf>
    <xf numFmtId="3" fontId="5" fillId="5" borderId="2" applyAlignment="1" pivotButton="0" quotePrefix="0" xfId="0">
      <alignment horizontal="center" vertical="center" wrapText="1"/>
    </xf>
    <xf numFmtId="1" fontId="4" fillId="4" borderId="2" applyAlignment="1" applyProtection="1" pivotButton="0" quotePrefix="0" xfId="0">
      <alignment horizontal="center" vertical="center" wrapText="1"/>
      <protection locked="0" hidden="0"/>
    </xf>
    <xf numFmtId="164" fontId="5" fillId="5" borderId="2" applyAlignment="1" pivotButton="0" quotePrefix="0" xfId="0">
      <alignment horizontal="center" vertical="center" wrapText="1"/>
    </xf>
    <xf numFmtId="9" fontId="5" fillId="5" borderId="2" applyAlignment="1" pivotButton="0" quotePrefix="0" xfId="0">
      <alignment horizontal="center" vertical="center" wrapText="1"/>
    </xf>
    <xf numFmtId="2" fontId="5" fillId="5" borderId="2" applyAlignment="1" pivotButton="0" quotePrefix="0" xfId="0">
      <alignment horizontal="center" vertical="center" wrapText="1"/>
    </xf>
    <xf numFmtId="1" fontId="5" fillId="5" borderId="2" applyAlignment="1" pivotButton="0" quotePrefix="0" xfId="0">
      <alignment horizontal="center" vertical="center" wrapText="1"/>
    </xf>
    <xf numFmtId="0" fontId="6" fillId="6" borderId="2" applyAlignment="1" pivotButton="0" quotePrefix="0" xfId="0">
      <alignment horizontal="left" vertical="center" wrapText="1"/>
    </xf>
    <xf numFmtId="0" fontId="0" fillId="6" borderId="2" pivotButton="0" quotePrefix="0" xfId="0"/>
    <xf numFmtId="2" fontId="5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165" fontId="5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left" vertical="center" wrapText="1"/>
    </xf>
    <xf numFmtId="165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3" fontId="5" fillId="0" borderId="2" applyAlignment="1" pivotButton="0" quotePrefix="0" xfId="0">
      <alignment horizontal="center" vertical="center" wrapText="1"/>
    </xf>
    <xf numFmtId="166" fontId="5" fillId="0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1" fontId="4" fillId="3" borderId="2" applyAlignment="1" pivotButton="0" quotePrefix="0" xfId="0">
      <alignment horizontal="center" vertical="center" wrapText="1"/>
    </xf>
    <xf numFmtId="164" fontId="5" fillId="0" borderId="2" applyAlignment="1" pivotButton="0" quotePrefix="0" xfId="0">
      <alignment horizontal="center" vertical="center" wrapText="1"/>
    </xf>
    <xf numFmtId="1" fontId="5" fillId="0" borderId="2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167" fontId="5" fillId="0" borderId="2" applyAlignment="1" pivotButton="0" quotePrefix="0" xfId="0" applyNumberFormat="1">
      <alignment horizontal="center" vertical="center" wrapText="1"/>
    </xf>
    <xf numFmtId="168" fontId="5" fillId="0" borderId="2" applyAlignment="1" pivotButton="0" quotePrefix="0" xfId="0" applyNumberFormat="1">
      <alignment horizontal="center" vertical="center" wrapText="1"/>
    </xf>
    <xf numFmtId="2" fontId="5" fillId="5" borderId="2" applyAlignment="1" pivotButton="0" quotePrefix="0" xfId="0" applyNumberFormat="1">
      <alignment horizontal="center" vertical="center" wrapText="1"/>
    </xf>
  </cellXfs>
  <cellStyles count="1">
    <cellStyle name="Normal" xfId="0" builtinId="0" hidden="0"/>
  </cellStyles>
  <dxfs count="3">
    <dxf>
      <font>
        <name val="微軟正黑體"/>
        <b val="1"/>
        <color rgb="00C00000"/>
        <sz val="10"/>
      </font>
    </dxf>
    <dxf>
      <font>
        <name val="微軟正黑體"/>
        <b val="1"/>
        <color rgb="00006100"/>
        <sz val="10"/>
      </font>
    </dxf>
    <dxf>
      <font>
        <name val="微軟正黑體"/>
        <b val="1"/>
        <color rgb="00C00000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Claude</author>
  </authors>
  <commentList>
    <comment ref="F5" authorId="0" shapeId="0">
      <text>
        <t>28天抗彎≥45kgf/cm²（CNS 1233 三分點載重）是市區道路及附屬工程設計規範 9.5.2 的下限；混凝土以抗彎驗收。</t>
      </text>
    </comment>
    <comment ref="H5" authorId="0" shapeId="0">
      <text>
        <t>只用在傳力桿承壓與拉桿錨定。取能達到抗彎45的配比強度；驗收以抗彎為準。</t>
      </text>
    </comment>
    <comment ref="H6" authorId="0" shapeId="0">
      <text>
        <t>k＝5kgf/cm³為未實測的設計支承勁度假設，不是容許承載力qa，也不代表已涵蓋脫空。天然卵礫石須整平壓實、排水良好且連續均勻支承；省略底層條件仍須現地確認。</t>
      </text>
    </comment>
    <comment ref="F7" authorId="0" shapeId="0">
      <text>
        <t>AASHTO 地方道路建議範圍50~80%，私人廠區取80%。改成90%時本表結論仍成立（看第23列）。</t>
      </text>
    </comment>
    <comment ref="F8" authorId="0" shapeId="0">
      <text>
        <t>有傳力桿、外側無路肩=3.2（NHI-05-037 附錄C）。</t>
      </text>
    </comment>
    <comment ref="F9" authorId="0" shapeId="0">
      <text>
        <t>初始服務指數 p₀＝4.4：NHI-05-037 附錄C p.C-9（PDF557）「剛性鋪面典型值 4.4」。當量 E 公式內的 4.5 是公式常數，不是 p₀。</t>
      </text>
    </comment>
    <comment ref="F10" authorId="0" shapeId="0">
      <text>
        <t>光面圓鋼 Ø32mm × L45cm @30cm；一般作法傳力桿徑約 h/8（25cm→31mm）。</t>
      </text>
    </comment>
    <comment ref="H10" authorId="0" shapeId="0">
      <text>
        <t>中央縱縫採竹節拉結筋 SD420W D16×L80cm，每4m板5支，距橫縫40cm，全線等距@80cm；依本表RC直線錨定檢核，兩側有效埋入長與居中誤差須落實。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 xmlns:ns1="http://schemas.openxmlformats.org/officeDocument/2006/relationships">
  <sheetPr>
    <outlinePr summaryBelow="1" summaryRight="1"/>
    <pageSetUpPr fitToPage="1"/>
  </sheetPr>
  <dimension ref="A1:H45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0.5" customWidth="1" min="2" max="2"/>
    <col width="10.5" customWidth="1" min="3" max="3"/>
    <col width="10.5" customWidth="1" min="4" max="4"/>
    <col width="12" customWidth="1" min="5" max="5"/>
    <col width="10.5" customWidth="1" min="6" max="6"/>
    <col width="12" customWidth="1" min="7" max="7"/>
    <col width="10.5" customWidth="1" min="8" max="8"/>
  </cols>
  <sheetData>
    <row r="1" ht="24" customHeight="1">
      <c r="A1" s="1" t="inlineStr">
        <is>
          <t>廠區剛性鋪面　版厚與接縫檢核（V6-38t修訂）</t>
        </is>
      </c>
      <c r="B1" s="2" t="n"/>
      <c r="C1" s="2" t="n"/>
      <c r="D1" s="2" t="n"/>
      <c r="E1" s="2" t="n"/>
      <c r="F1" s="2" t="n"/>
      <c r="G1" s="2" t="n"/>
      <c r="H1" s="2" t="n"/>
    </row>
    <row r="2" ht="22" customHeight="1">
      <c r="A2" s="3" t="str">
        <f>IF(NOT(ISNUMBER($H$3)),"有檢核待另算：ACM模型限原四軸/六板與Ø32×45@30之原條件。20年交通見②；支承條件待確認。",IF(AND($H$3&gt;=1,$E$22="OK",$E$32="OK",$E$36="OK",$E$38="OK",$E$40="OK"),"結論：h="&amp;$B$10&amp;"cm；本假設情境彎拉/接縫及20年交通通過（交通比 "&amp;TEXT($D$22,"0.00000")&amp;"）；支承假設待現地確認。","有檢核不足：單次MR/σ="&amp;TEXT($H$3,"0.000")&amp;"，20年容量比 "&amp;TEXT($D$22,"0.00000")&amp;"；請看各項判定。"))</f>
        <v>結論：h=25cm；本假設情境彎拉/接縫及20年交通通過（交通比 1.97141）；支承假設待現地確認。</v>
      </c>
      <c r="B2" s="4" t="n"/>
      <c r="C2" s="4" t="n"/>
      <c r="D2" s="4" t="n"/>
      <c r="E2" s="4" t="n"/>
      <c r="F2" s="4" t="n"/>
      <c r="G2" s="4" t="n"/>
      <c r="H2" s="4" t="n"/>
    </row>
    <row r="3" ht="18" customHeight="1">
      <c r="A3" s="8" t="inlineStr">
        <is>
          <t>單次彎拉 σ（ACM情境，kgf/cm²）</t>
        </is>
      </c>
      <c r="B3" s="8" t="n"/>
      <c r="C3" s="8" t="n"/>
      <c r="D3" s="37">
        <f>IF(AND(ISNUMBER($B$5),$B$5&gt;=35,$B$5&lt;=45),IF(AND($B$10=25,$B$9=3,$B$40=400,$H$6=5,$F$6=300000,$F$10=3.2),25.100000000000001*$B$5/38,"另算"),"另算")</f>
        <v>25.1</v>
      </c>
      <c r="E3" s="8" t="inlineStr">
        <is>
          <t>MR(kgf/cm²)</t>
        </is>
      </c>
      <c r="F3" s="11">
        <f>$F$5</f>
        <v>45</v>
      </c>
      <c r="G3" s="8" t="inlineStr">
        <is>
          <t>MR/σ</t>
        </is>
      </c>
      <c r="H3" s="37">
        <f>IF(AND(ISNUMBER(D3),D3&gt;0),F3/D3,"—")</f>
        <v>1.79282868525896</v>
      </c>
    </row>
    <row r="4" ht="16" customHeight="1">
      <c r="A4" s="6" t="inlineStr">
        <is>
          <t>輸入（藍底）</t>
        </is>
      </c>
      <c r="B4" s="7" t="n"/>
      <c r="C4" s="7" t="n"/>
      <c r="E4" s="6" t="inlineStr">
        <is>
          <t>建議值（灰底，不用改）</t>
        </is>
      </c>
      <c r="F4" s="7" t="n"/>
      <c r="G4" s="7" t="n"/>
      <c r="H4" s="7" t="n"/>
    </row>
    <row r="5" ht="16" customHeight="1">
      <c r="A5" s="8" t="inlineStr">
        <is>
          <t>整車總重 W</t>
        </is>
      </c>
      <c r="B5" s="9">
        <v>38</v>
      </c>
      <c r="C5" s="10" t="inlineStr">
        <is>
          <t>t</t>
        </is>
      </c>
      <c r="E5" s="8" t="inlineStr">
        <is>
          <t>MR(kgf/cm²)</t>
        </is>
      </c>
      <c r="F5" s="11" t="n">
        <v>45</v>
      </c>
      <c r="G5" s="8" t="inlineStr">
        <is>
          <t>f′c暫採(kgf/cm²)</t>
        </is>
      </c>
      <c r="H5" s="11" t="n">
        <v>350</v>
      </c>
    </row>
    <row r="6" ht="16" customHeight="1">
      <c r="A6" s="8" t="inlineStr">
        <is>
          <t>每天滿載車數 q</t>
        </is>
      </c>
      <c r="B6" s="12" t="n">
        <v>50</v>
      </c>
      <c r="C6" s="10" t="inlineStr">
        <is>
          <t>台／日</t>
        </is>
      </c>
      <c r="E6" s="8" t="inlineStr">
        <is>
          <t>Ec(kgf/cm²)</t>
        </is>
      </c>
      <c r="F6" s="11" t="n">
        <v>300000</v>
      </c>
      <c r="G6" s="8" t="inlineStr">
        <is>
          <t>k(kgf/cm³)</t>
        </is>
      </c>
      <c r="H6" s="13" t="n">
        <v>5</v>
      </c>
    </row>
    <row r="7" ht="16" customHeight="1">
      <c r="A7" s="8" t="inlineStr">
        <is>
          <t>每年工作日 a</t>
        </is>
      </c>
      <c r="B7" s="12" t="n">
        <v>300</v>
      </c>
      <c r="C7" s="10" t="inlineStr">
        <is>
          <t>日／年</t>
        </is>
      </c>
      <c r="E7" s="8" t="inlineStr">
        <is>
          <t>可靠度 R</t>
        </is>
      </c>
      <c r="F7" s="14" t="n">
        <v>0.8</v>
      </c>
      <c r="G7" s="8" t="inlineStr">
        <is>
          <t>標準差 So</t>
        </is>
      </c>
      <c r="H7" s="15" t="n">
        <v>0.35</v>
      </c>
    </row>
    <row r="8" ht="16" customHeight="1">
      <c r="A8" s="8" t="inlineStr">
        <is>
          <t>使用年限 Y</t>
        </is>
      </c>
      <c r="B8" s="12" t="n">
        <v>20</v>
      </c>
      <c r="C8" s="10" t="inlineStr">
        <is>
          <t>年</t>
        </is>
      </c>
      <c r="E8" s="8" t="inlineStr">
        <is>
          <t>荷重傳遞 J</t>
        </is>
      </c>
      <c r="F8" s="13" t="n">
        <v>3.2</v>
      </c>
      <c r="G8" s="8" t="inlineStr">
        <is>
          <t>排水 Cd</t>
        </is>
      </c>
      <c r="H8" s="13" t="n">
        <v>1</v>
      </c>
    </row>
    <row r="9" ht="16" customHeight="1">
      <c r="A9" s="8" t="inlineStr">
        <is>
          <t>單一車道寬 b</t>
        </is>
      </c>
      <c r="B9" s="9" t="n">
        <v>3</v>
      </c>
      <c r="C9" s="10" t="inlineStr">
        <is>
          <t>m</t>
        </is>
      </c>
      <c r="E9" s="8" t="inlineStr">
        <is>
          <t>初始 p₀</t>
        </is>
      </c>
      <c r="F9" s="13" t="n">
        <v>4.4</v>
      </c>
      <c r="G9" s="8" t="inlineStr">
        <is>
          <t>終期 pₜ</t>
        </is>
      </c>
      <c r="H9" s="13" t="n">
        <v>2.5</v>
      </c>
    </row>
    <row r="10" ht="16" customHeight="1">
      <c r="A10" s="8" t="inlineStr">
        <is>
          <t>板厚 h</t>
        </is>
      </c>
      <c r="B10" s="12" t="n">
        <v>25</v>
      </c>
      <c r="C10" s="10" t="inlineStr">
        <is>
          <t>cm</t>
        </is>
      </c>
      <c r="E10" s="8" t="inlineStr">
        <is>
          <t>光面桿徑 d</t>
        </is>
      </c>
      <c r="F10" s="13" t="n">
        <v>3.2</v>
      </c>
      <c r="G10" s="8" t="inlineStr">
        <is>
          <t>竹節桿距 s</t>
        </is>
      </c>
      <c r="H10" s="16" t="n">
        <v>80</v>
      </c>
    </row>
    <row r="11" ht="18" customHeight="1">
      <c r="A11" s="17" t="inlineStr">
        <is>
          <t>① 20年交通量 → 標準軸次（18kip 單軸＝8.165t 為基準）</t>
        </is>
      </c>
      <c r="B11" s="18" t="n"/>
      <c r="C11" s="18" t="n"/>
      <c r="D11" s="18" t="n"/>
      <c r="E11" s="18" t="n"/>
      <c r="F11" s="18" t="n"/>
      <c r="G11" s="18" t="n"/>
      <c r="H11" s="18" t="n"/>
    </row>
    <row r="12" ht="16" customHeight="1">
      <c r="A12" s="6" t="inlineStr">
        <is>
          <t>軸組</t>
        </is>
      </c>
      <c r="B12" s="6" t="inlineStr">
        <is>
          <t>重量 (t)</t>
        </is>
      </c>
      <c r="C12" s="6" t="inlineStr">
        <is>
          <t>型式</t>
        </is>
      </c>
      <c r="D12" s="6" t="inlineStr">
        <is>
          <t>當量係數 E</t>
        </is>
      </c>
      <c r="E12" s="6" t="inlineStr">
        <is>
          <t>說明</t>
        </is>
      </c>
      <c r="F12" s="7" t="n"/>
      <c r="G12" s="7" t="n"/>
      <c r="H12" s="7" t="n"/>
    </row>
    <row r="13" ht="16" customHeight="1">
      <c r="A13" s="8" t="inlineStr">
        <is>
          <t>前 2 軸（各 W/7）</t>
        </is>
      </c>
      <c r="B13" s="19">
        <f>2*$B$5/7</f>
        <v>10.8571428571429</v>
      </c>
      <c r="C13" s="20" t="inlineStr">
        <is>
          <t>2單軸／雙軸取大</t>
        </is>
      </c>
      <c r="D13" s="21">
        <f>MAX(2*10^(-(4.62*LOG10(19)-4.62*LOG10((($B$5/7)*2.2046226218)+1)+3.28*LOG10(1)+LOG10((4.5-$H$9)/3)/(1+3.63*((($B$5/7)*2.2046226218)+1)^5.2/(((($B$10)/2.54)+1)^8.46*1^3.52))-LOG10((4.5-$H$9)/3)/(1+3.63*(18+1)^5.2/(((($B$10)/2.54)+1)^8.46)))),10^(-(4.62*LOG10(19)-4.62*LOG10(((2*$B$5/7)*2.2046226218)+2)+3.28*LOG10(2)+LOG10((4.5-$H$9)/3)/(1+3.63*(((2*$B$5/7)*2.2046226218)+2)^5.2/(((($B$10)/2.54)+1)^8.46*2^3.52))-LOG10((4.5-$H$9)/3)/(1+3.63*(18+1)^5.2/(((($B$10)/2.54)+1)^8.46)))))</f>
        <v>0.436203289252689</v>
      </c>
      <c r="E13" s="22" t="inlineStr">
        <is>
          <t>前兩軸軸距未知，兩種算法取較大值</t>
        </is>
      </c>
      <c r="F13" s="23" t="n"/>
      <c r="G13" s="23" t="n"/>
      <c r="H13" s="23" t="n"/>
    </row>
    <row r="14" ht="16" customHeight="1">
      <c r="A14" s="8" t="inlineStr">
        <is>
          <t>後雙軸（W×5/7）</t>
        </is>
      </c>
      <c r="B14" s="19">
        <f>5*$B$5/7</f>
        <v>27.1428571428571</v>
      </c>
      <c r="C14" s="20" t="inlineStr">
        <is>
          <t>雙軸</t>
        </is>
      </c>
      <c r="D14" s="21">
        <f>10^(-(4.62*LOG10(19)-4.62*LOG10(((5*$B$5/7)*2.2046226218)+2)+3.28*LOG10(2)+LOG10((4.5-$H$9)/3)/(1+3.63*(((5*$B$5/7)*2.2046226218)+2)^5.2/(((($B$10)/2.54)+1)^8.46*2^3.52))-LOG10((4.5-$H$9)/3)/(1+3.63*(18+1)^5.2/(((($B$10)/2.54)+1)^8.46))))</f>
        <v>19.5616301108423</v>
      </c>
      <c r="E14" s="22" t="str">
        <f>"後軸每軸 "&amp;TEXT(5*$B$5/14,"0.0")&amp;" t；空車回程影響&lt;2%，不計"</f>
        <v>後軸每軸 13.6 t；空車回程影響&lt;2%，不計</v>
      </c>
      <c r="F14" s="23" t="n"/>
      <c r="G14" s="23" t="n"/>
      <c r="H14" s="23" t="n"/>
    </row>
    <row r="15" ht="16" customHeight="1">
      <c r="A15" s="24" t="inlineStr">
        <is>
          <t>每車當量 ΣE</t>
        </is>
      </c>
      <c r="B15" s="8" t="inlineStr"/>
      <c r="C15" s="8" t="inlineStr"/>
      <c r="D15" s="25">
        <f>D13+D14</f>
        <v>19.997833400095</v>
      </c>
      <c r="E15" s="10" t="str">
        <f>"20年車數 N＝"&amp;TEXT(($B$6*$B$7*$B$8),"#,##0")&amp;" 台"</f>
        <v>20年車數 N＝300,000 台</v>
      </c>
      <c r="F15" s="23" t="n"/>
      <c r="G15" s="26" t="str">
        <f>"W需＝"&amp;TEXT(($B$6*$B$7*$B$8)*D15,"#,##0")</f>
        <v>W需＝5,999,350</v>
      </c>
      <c r="H15" s="23" t="n"/>
    </row>
    <row r="16" ht="15" customHeight="1">
      <c r="A16" s="27" t="inlineStr">
        <is>
          <t>E＝10^(−A)；A＝4.62log19 − 4.62log(L+m) + 3.28log m + G/β − G/β₁₈；β＝1 + 3.63(L+m)^5.2 / [(D+1)^8.46·m^3.52]</t>
        </is>
      </c>
      <c r="B16" s="2" t="n"/>
      <c r="C16" s="2" t="n"/>
      <c r="D16" s="2" t="n"/>
      <c r="E16" s="2" t="n"/>
      <c r="F16" s="2" t="n"/>
      <c r="G16" s="2" t="n"/>
      <c r="H16" s="2" t="n"/>
    </row>
    <row r="17" ht="15" customHeight="1">
      <c r="A17" s="27" t="inlineStr">
        <is>
          <t>G＝log[(4.5−pₜ)/3]；L＝軸組重(kip)＝2.2046×t；D＝h/2.54(in)；m＝1 單軸、2 雙軸；W需＝N×ΣE　[1]</t>
        </is>
      </c>
      <c r="B17" s="2" t="n"/>
      <c r="C17" s="2" t="n"/>
      <c r="D17" s="2" t="n"/>
      <c r="E17" s="2" t="n"/>
      <c r="F17" s="2" t="n"/>
      <c r="G17" s="2" t="n"/>
      <c r="H17" s="2" t="n"/>
    </row>
    <row r="18" ht="18" customHeight="1">
      <c r="A18" s="17" t="inlineStr">
        <is>
          <t>② 版厚：AASHTO 剛性鋪面法（市區道路設計規範 9.5 指定參考）</t>
        </is>
      </c>
      <c r="B18" s="18" t="n"/>
      <c r="C18" s="18" t="n"/>
      <c r="D18" s="18" t="n"/>
      <c r="E18" s="18" t="n"/>
      <c r="F18" s="18" t="n"/>
      <c r="G18" s="18" t="n"/>
      <c r="H18" s="18" t="n"/>
    </row>
    <row r="19" ht="15" customHeight="1">
      <c r="A19" s="27" t="inlineStr">
        <is>
          <t>log W允＝Z_R·S₀ + 7.35log(D+1) − 0.06 + log[(p₀−pₜ)/3] / [1 + 1.624×10⁷/(D+1)^8.46]</t>
        </is>
      </c>
      <c r="B19" s="2" t="n"/>
      <c r="C19" s="2" t="n"/>
      <c r="D19" s="2" t="n"/>
      <c r="E19" s="2" t="n"/>
      <c r="F19" s="2" t="n"/>
      <c r="G19" s="2" t="n"/>
      <c r="H19" s="2" t="n"/>
    </row>
    <row r="20" ht="15" customHeight="1">
      <c r="A20" s="27" t="inlineStr">
        <is>
          <t xml:space="preserve">　　　　+ (4.22−0.32pₜ)·log{ Sc·Cd·(D^0.75−1.132) / [215.63·J·(D^0.75 − 18.42/(Ec/k)^0.25)] }　（Sc、Ec 換 psi，k 換 pci）[2]</t>
        </is>
      </c>
      <c r="B20" s="2" t="n"/>
      <c r="C20" s="2" t="n"/>
      <c r="D20" s="2" t="n"/>
      <c r="E20" s="2" t="n"/>
      <c r="F20" s="2" t="n"/>
      <c r="G20" s="2" t="n"/>
      <c r="H20" s="2" t="n"/>
    </row>
    <row r="21" ht="16" customHeight="1">
      <c r="A21" s="6" t="inlineStr">
        <is>
          <t>檢核項目</t>
        </is>
      </c>
      <c r="B21" s="6" t="inlineStr">
        <is>
          <t>需求</t>
        </is>
      </c>
      <c r="C21" s="6" t="inlineStr">
        <is>
          <t>容許／提供</t>
        </is>
      </c>
      <c r="D21" s="6" t="inlineStr">
        <is>
          <t>容許÷需求</t>
        </is>
      </c>
      <c r="E21" s="6" t="inlineStr">
        <is>
          <t>判定</t>
        </is>
      </c>
      <c r="F21" s="6" t="inlineStr">
        <is>
          <t>依據／說明</t>
        </is>
      </c>
      <c r="G21" s="7" t="n"/>
      <c r="H21" s="7" t="n"/>
    </row>
    <row r="22" ht="16" customHeight="1">
      <c r="A22" s="8" t="inlineStr">
        <is>
          <t>20年當量軸次（R80%）</t>
        </is>
      </c>
      <c r="B22" s="28">
        <f>($B$6*$B$7*$B$8)*D15</f>
        <v>5999350.02002849</v>
      </c>
      <c r="C22" s="28">
        <f>10^(_xlfn.NORM.S.INV(1-$F$7)*$H$7+7.35*LOG10((($B$10)/2.54)+1)-0.06+LOG10(($F$9-$H$9)/3)/(1+1.624E7/((($B$10)/2.54)+1)^8.46)+(4.22-0.32*$H$9)*LOG10(($F$5*14.223343307)*$H$8*((($B$10)/2.54)^0.75-1.132)/(215.63*$F$8*((($B$10)/2.54)^0.75-18.42/(($F$6*14.223343307)/($H$6*36.127292))^0.25))))</f>
        <v>11827192.476136</v>
      </c>
      <c r="D22" s="35">
        <f>IF(B22&gt;0,C22/B22,"—")</f>
        <v>1.97141230910874</v>
      </c>
      <c r="E22" s="26" t="str">
        <f>IF(D22&gt;=1,"OK","不足")</f>
        <v>OK</v>
      </c>
      <c r="F22" s="22" t="inlineStr">
        <is>
          <t>容量比是交通量餘裕，不是材料安全係數</t>
        </is>
      </c>
      <c r="G22" s="23" t="n"/>
      <c r="H22" s="23" t="n"/>
    </row>
    <row r="23" ht="16" customHeight="1">
      <c r="A23" s="8" t="inlineStr">
        <is>
          <t>加嚴：可靠度 R90%</t>
        </is>
      </c>
      <c r="B23" s="28">
        <f>($B$6*$B$7*$B$8)*D15</f>
        <v>5999350.02002849</v>
      </c>
      <c r="C23" s="28">
        <f>10^(_xlfn.NORM.S.INV(1-0.9)*$H$7+7.35*LOG10((($B$10)/2.54)+1)-0.06+LOG10(($F$9-$H$9)/3)/(1+1.624E7/((($B$10)/2.54)+1)^8.46)+(4.22-0.32*$H$9)*LOG10(($F$5*14.223343307)*$H$8*((($B$10)/2.54)^0.75-1.132)/(215.63*$F$8*((($B$10)/2.54)^0.75-18.42/(($F$6*14.223343307)/($H$6*36.127292))^0.25))))</f>
        <v>8296712.64028697</v>
      </c>
      <c r="D23" s="35">
        <f>IF(B23&gt;0,C23/B23,"—")</f>
        <v>1.38293525341726</v>
      </c>
      <c r="E23" s="20" t="inlineStr">
        <is>
          <t>參考</t>
        </is>
      </c>
      <c r="F23" s="22" t="inlineStr">
        <is>
          <t>敏感度參考；≥1 表示 R90 也夠</t>
        </is>
      </c>
      <c r="G23" s="23" t="n"/>
      <c r="H23" s="23" t="n"/>
    </row>
    <row r="24" ht="16" customHeight="1">
      <c r="A24" s="30" t="inlineStr">
        <is>
          <t>不同板厚 h (cm)</t>
        </is>
      </c>
      <c r="B24" s="31">
        <f>($B$10-4+0)</f>
        <v>21</v>
      </c>
      <c r="C24" s="31">
        <f>($B$10-4+1)</f>
        <v>22</v>
      </c>
      <c r="D24" s="31">
        <f>($B$10-4+2)</f>
        <v>23</v>
      </c>
      <c r="E24" s="31">
        <f>($B$10-4+3)</f>
        <v>24</v>
      </c>
      <c r="F24" s="31">
        <f>($B$10-4+4)</f>
        <v>25</v>
      </c>
      <c r="G24" s="31">
        <f>($B$10-4+5)</f>
        <v>26</v>
      </c>
      <c r="H24" s="6" t="inlineStr">
        <is>
          <t>交通下限</t>
        </is>
      </c>
    </row>
    <row r="25" ht="16" customHeight="1">
      <c r="A25" s="30" t="inlineStr">
        <is>
          <t>容量比（R80%）</t>
        </is>
      </c>
      <c r="B25" s="36">
        <f>10^(_xlfn.NORM.S.INV(1-$F$7)*$H$7+7.35*LOG10(((B24)/2.54)+1)-0.06+LOG10(($F$9-$H$9)/3)/(1+1.624E7/(((B24)/2.54)+1)^8.46)+(4.22-0.32*$H$9)*LOG10(($F$5*14.223343307)*$H$8*(((B24)/2.54)^0.75-1.132)/(215.63*$F$8*(((B24)/2.54)^0.75-18.42/(($F$6*14.223343307)/($H$6*36.127292))^0.25))))/(($B$6*$B$7*$B$8)*(MAX(2*10^(-(4.62*LOG10(19)-4.62*LOG10((($B$5/7)*2.2046226218)+1)+3.28*LOG10(1)+LOG10((4.5-$H$9)/3)/(1+3.63*((($B$5/7)*2.2046226218)+1)^5.2/((((B24)/2.54)+1)^8.46*1^3.52))-LOG10((4.5-$H$9)/3)/(1+3.63*(18+1)^5.2/((((B24)/2.54)+1)^8.46)))),10^(-(4.62*LOG10(19)-4.62*LOG10(((2*$B$5/7)*2.2046226218)+2)+3.28*LOG10(2)+LOG10((4.5-$H$9)/3)/(1+3.63*(((2*$B$5/7)*2.2046226218)+2)^5.2/((((B24)/2.54)+1)^8.46*2^3.52))-LOG10((4.5-$H$9)/3)/(1+3.63*(18+1)^5.2/((((B24)/2.54)+1)^8.46)))))+10^(-(4.62*LOG10(19)-4.62*LOG10(((5*$B$5/7)*2.2046226218)+2)+3.28*LOG10(2)+LOG10((4.5-$H$9)/3)/(1+3.63*(((5*$B$5/7)*2.2046226218)+2)^5.2/((((B24)/2.54)+1)^8.46*2^3.52))-LOG10((4.5-$H$9)/3)/(1+3.63*(18+1)^5.2/((((B24)/2.54)+1)^8.46))))))</f>
        <v>0.736383264977969</v>
      </c>
      <c r="C25" s="36">
        <f>10^(_xlfn.NORM.S.INV(1-$F$7)*$H$7+7.35*LOG10(((C24)/2.54)+1)-0.06+LOG10(($F$9-$H$9)/3)/(1+1.624E7/(((C24)/2.54)+1)^8.46)+(4.22-0.32*$H$9)*LOG10(($F$5*14.223343307)*$H$8*(((C24)/2.54)^0.75-1.132)/(215.63*$F$8*(((C24)/2.54)^0.75-18.42/(($F$6*14.223343307)/($H$6*36.127292))^0.25))))/(($B$6*$B$7*$B$8)*(MAX(2*10^(-(4.62*LOG10(19)-4.62*LOG10((($B$5/7)*2.2046226218)+1)+3.28*LOG10(1)+LOG10((4.5-$H$9)/3)/(1+3.63*((($B$5/7)*2.2046226218)+1)^5.2/((((C24)/2.54)+1)^8.46*1^3.52))-LOG10((4.5-$H$9)/3)/(1+3.63*(18+1)^5.2/((((C24)/2.54)+1)^8.46)))),10^(-(4.62*LOG10(19)-4.62*LOG10(((2*$B$5/7)*2.2046226218)+2)+3.28*LOG10(2)+LOG10((4.5-$H$9)/3)/(1+3.63*(((2*$B$5/7)*2.2046226218)+2)^5.2/((((C24)/2.54)+1)^8.46*2^3.52))-LOG10((4.5-$H$9)/3)/(1+3.63*(18+1)^5.2/((((C24)/2.54)+1)^8.46)))))+10^(-(4.62*LOG10(19)-4.62*LOG10(((5*$B$5/7)*2.2046226218)+2)+3.28*LOG10(2)+LOG10((4.5-$H$9)/3)/(1+3.63*(((5*$B$5/7)*2.2046226218)+2)^5.2/((((C24)/2.54)+1)^8.46*2^3.52))-LOG10((4.5-$H$9)/3)/(1+3.63*(18+1)^5.2/((((C24)/2.54)+1)^8.46))))))</f>
        <v>0.959705642359491</v>
      </c>
      <c r="D25" s="36">
        <f>10^(_xlfn.NORM.S.INV(1-$F$7)*$H$7+7.35*LOG10(((D24)/2.54)+1)-0.06+LOG10(($F$9-$H$9)/3)/(1+1.624E7/(((D24)/2.54)+1)^8.46)+(4.22-0.32*$H$9)*LOG10(($F$5*14.223343307)*$H$8*(((D24)/2.54)^0.75-1.132)/(215.63*$F$8*(((D24)/2.54)^0.75-18.42/(($F$6*14.223343307)/($H$6*36.127292))^0.25))))/(($B$6*$B$7*$B$8)*(MAX(2*10^(-(4.62*LOG10(19)-4.62*LOG10((($B$5/7)*2.2046226218)+1)+3.28*LOG10(1)+LOG10((4.5-$H$9)/3)/(1+3.63*((($B$5/7)*2.2046226218)+1)^5.2/((((D24)/2.54)+1)^8.46*1^3.52))-LOG10((4.5-$H$9)/3)/(1+3.63*(18+1)^5.2/((((D24)/2.54)+1)^8.46)))),10^(-(4.62*LOG10(19)-4.62*LOG10(((2*$B$5/7)*2.2046226218)+2)+3.28*LOG10(2)+LOG10((4.5-$H$9)/3)/(1+3.63*(((2*$B$5/7)*2.2046226218)+2)^5.2/((((D24)/2.54)+1)^8.46*2^3.52))-LOG10((4.5-$H$9)/3)/(1+3.63*(18+1)^5.2/((((D24)/2.54)+1)^8.46)))))+10^(-(4.62*LOG10(19)-4.62*LOG10(((5*$B$5/7)*2.2046226218)+2)+3.28*LOG10(2)+LOG10((4.5-$H$9)/3)/(1+3.63*(((5*$B$5/7)*2.2046226218)+2)^5.2/((((D24)/2.54)+1)^8.46*2^3.52))-LOG10((4.5-$H$9)/3)/(1+3.63*(18+1)^5.2/((((D24)/2.54)+1)^8.46))))))</f>
        <v>1.23387981302987</v>
      </c>
      <c r="E25" s="36">
        <f>10^(_xlfn.NORM.S.INV(1-$F$7)*$H$7+7.35*LOG10(((E24)/2.54)+1)-0.06+LOG10(($F$9-$H$9)/3)/(1+1.624E7/(((E24)/2.54)+1)^8.46)+(4.22-0.32*$H$9)*LOG10(($F$5*14.223343307)*$H$8*(((E24)/2.54)^0.75-1.132)/(215.63*$F$8*(((E24)/2.54)^0.75-18.42/(($F$6*14.223343307)/($H$6*36.127292))^0.25))))/(($B$6*$B$7*$B$8)*(MAX(2*10^(-(4.62*LOG10(19)-4.62*LOG10((($B$5/7)*2.2046226218)+1)+3.28*LOG10(1)+LOG10((4.5-$H$9)/3)/(1+3.63*((($B$5/7)*2.2046226218)+1)^5.2/((((E24)/2.54)+1)^8.46*1^3.52))-LOG10((4.5-$H$9)/3)/(1+3.63*(18+1)^5.2/((((E24)/2.54)+1)^8.46)))),10^(-(4.62*LOG10(19)-4.62*LOG10(((2*$B$5/7)*2.2046226218)+2)+3.28*LOG10(2)+LOG10((4.5-$H$9)/3)/(1+3.63*(((2*$B$5/7)*2.2046226218)+2)^5.2/((((E24)/2.54)+1)^8.46*2^3.52))-LOG10((4.5-$H$9)/3)/(1+3.63*(18+1)^5.2/((((E24)/2.54)+1)^8.46)))))+10^(-(4.62*LOG10(19)-4.62*LOG10(((5*$B$5/7)*2.2046226218)+2)+3.28*LOG10(2)+LOG10((4.5-$H$9)/3)/(1+3.63*(((5*$B$5/7)*2.2046226218)+2)^5.2/((((E24)/2.54)+1)^8.46*2^3.52))-LOG10((4.5-$H$9)/3)/(1+3.63*(18+1)^5.2/((((E24)/2.54)+1)^8.46))))))</f>
        <v>1.56750705311687</v>
      </c>
      <c r="F25" s="36">
        <f>10^(_xlfn.NORM.S.INV(1-$F$7)*$H$7+7.35*LOG10(((F24)/2.54)+1)-0.06+LOG10(($F$9-$H$9)/3)/(1+1.624E7/(((F24)/2.54)+1)^8.46)+(4.22-0.32*$H$9)*LOG10(($F$5*14.223343307)*$H$8*(((F24)/2.54)^0.75-1.132)/(215.63*$F$8*(((F24)/2.54)^0.75-18.42/(($F$6*14.223343307)/($H$6*36.127292))^0.25))))/(($B$6*$B$7*$B$8)*(MAX(2*10^(-(4.62*LOG10(19)-4.62*LOG10((($B$5/7)*2.2046226218)+1)+3.28*LOG10(1)+LOG10((4.5-$H$9)/3)/(1+3.63*((($B$5/7)*2.2046226218)+1)^5.2/((((F24)/2.54)+1)^8.46*1^3.52))-LOG10((4.5-$H$9)/3)/(1+3.63*(18+1)^5.2/((((F24)/2.54)+1)^8.46)))),10^(-(4.62*LOG10(19)-4.62*LOG10(((2*$B$5/7)*2.2046226218)+2)+3.28*LOG10(2)+LOG10((4.5-$H$9)/3)/(1+3.63*(((2*$B$5/7)*2.2046226218)+2)^5.2/((((F24)/2.54)+1)^8.46*2^3.52))-LOG10((4.5-$H$9)/3)/(1+3.63*(18+1)^5.2/((((F24)/2.54)+1)^8.46)))))+10^(-(4.62*LOG10(19)-4.62*LOG10(((5*$B$5/7)*2.2046226218)+2)+3.28*LOG10(2)+LOG10((4.5-$H$9)/3)/(1+3.63*(((5*$B$5/7)*2.2046226218)+2)^5.2/((((F24)/2.54)+1)^8.46*2^3.52))-LOG10((4.5-$H$9)/3)/(1+3.63*(18+1)^5.2/((((F24)/2.54)+1)^8.46))))))</f>
        <v>1.97141230910874</v>
      </c>
      <c r="G25" s="36">
        <f>10^(_xlfn.NORM.S.INV(1-$F$7)*$H$7+7.35*LOG10(((G24)/2.54)+1)-0.06+LOG10(($F$9-$H$9)/3)/(1+1.624E7/(((G24)/2.54)+1)^8.46)+(4.22-0.32*$H$9)*LOG10(($F$5*14.223343307)*$H$8*(((G24)/2.54)^0.75-1.132)/(215.63*$F$8*(((G24)/2.54)^0.75-18.42/(($F$6*14.223343307)/($H$6*36.127292))^0.25))))/(($B$6*$B$7*$B$8)*(MAX(2*10^(-(4.62*LOG10(19)-4.62*LOG10((($B$5/7)*2.2046226218)+1)+3.28*LOG10(1)+LOG10((4.5-$H$9)/3)/(1+3.63*((($B$5/7)*2.2046226218)+1)^5.2/((((G24)/2.54)+1)^8.46*1^3.52))-LOG10((4.5-$H$9)/3)/(1+3.63*(18+1)^5.2/((((G24)/2.54)+1)^8.46)))),10^(-(4.62*LOG10(19)-4.62*LOG10(((2*$B$5/7)*2.2046226218)+2)+3.28*LOG10(2)+LOG10((4.5-$H$9)/3)/(1+3.63*(((2*$B$5/7)*2.2046226218)+2)^5.2/((((G24)/2.54)+1)^8.46*2^3.52))-LOG10((4.5-$H$9)/3)/(1+3.63*(18+1)^5.2/((((G24)/2.54)+1)^8.46)))))+10^(-(4.62*LOG10(19)-4.62*LOG10(((5*$B$5/7)*2.2046226218)+2)+3.28*LOG10(2)+LOG10((4.5-$H$9)/3)/(1+3.63*(((5*$B$5/7)*2.2046226218)+2)^5.2/((((G24)/2.54)+1)^8.46*2^3.52))-LOG10((4.5-$H$9)/3)/(1+3.63*(18+1)^5.2/((((G24)/2.54)+1)^8.46))))))</f>
        <v>2.45939205229981</v>
      </c>
      <c r="H25" s="26" t="str">
        <f>IFERROR(INDEX(B24:G24,MATCH(TRUE,INDEX(B25:G25&gt;=1,0),0))&amp;" cm","&gt;"&amp;MAX(B24:G24)&amp;" cm")</f>
        <v>23 cm</v>
      </c>
    </row>
    <row r="26" ht="36" customHeight="1">
      <c r="A26" s="5" t="inlineStr">
        <is>
          <t>ACM六板四軸：σ=(底25.1／頂22.3)×W/38 kgf/cm²；僅35–45t原軸距/輪印、h25/k5/Ec30萬/ν.15/4×3m及核定接縫近似。非全域/溫差包絡；k非qa、MR/σ非規範安全係數。試算下限僅交通，未作該厚全車FE。</t>
        </is>
      </c>
      <c r="B26" s="2" t="n"/>
      <c r="C26" s="2" t="n"/>
      <c r="D26" s="2" t="n"/>
      <c r="E26" s="2" t="n"/>
      <c r="F26" s="2" t="n"/>
      <c r="G26" s="2" t="n"/>
      <c r="H26" s="2" t="n"/>
    </row>
    <row r="27" ht="30" customHeight="1">
      <c r="A27" s="17" t="inlineStr">
        <is>
          <t>③ 光面傳力桿 Ø32×L45cm：窄縫@30／首末15cm；備用伸縫@25／首末12.5cm，填板2cm、設計開口z≤2.5cm（接固定構造物時）。</t>
        </is>
      </c>
      <c r="B27" s="18" t="n"/>
      <c r="C27" s="18" t="n"/>
      <c r="D27" s="18" t="n"/>
      <c r="E27" s="18" t="n"/>
      <c r="F27" s="18" t="n"/>
      <c r="G27" s="18" t="n"/>
      <c r="H27" s="18" t="n"/>
    </row>
    <row r="28" ht="24" customHeight="1">
      <c r="A28" s="27" t="inlineStr">
        <is>
          <t>Pc=MAX(原群桿式,複核Pc38×W/38)；窄/伸縫分算。σb=K₀Pc(2+βz)/(4β³EsI)，容許=(4−d[in])fc′/3；K₀=41520。[3]及本次ACM複核</t>
        </is>
      </c>
      <c r="B28" s="2" t="n"/>
      <c r="C28" s="2" t="n"/>
      <c r="D28" s="2" t="n"/>
      <c r="E28" s="2" t="n"/>
      <c r="F28" s="2" t="n"/>
      <c r="G28" s="2" t="n"/>
      <c r="H28" s="2" t="n"/>
    </row>
    <row r="29" ht="15" customHeight="1">
      <c r="A29" s="27" t="inlineStr">
        <is>
          <t>β＝[K₀·d/(4·Es·I)]^¼，I＝πd⁴/64；承壓 σb＝K₀·P(2+βz)/(4β³EsI)；容許＝(4−d[in])·fc′/3　[3]</t>
        </is>
      </c>
      <c r="B29" s="2" t="n"/>
      <c r="C29" s="2" t="n"/>
      <c r="D29" s="2" t="n"/>
      <c r="E29" s="2" t="n"/>
      <c r="F29" s="2" t="n"/>
      <c r="G29" s="2" t="n"/>
      <c r="H29" s="2" t="n"/>
    </row>
    <row r="30" ht="16" customHeight="1">
      <c r="A30" s="22" t="inlineStr">
        <is>
          <t>窄縫Pc (kgf)</t>
        </is>
      </c>
      <c r="B30" s="32">
        <f>IF(ISNUMBER($D$3),MAX((0.45*(5*$B$5/28*1000)*(1-15/(($F$6*$B$10^3/(12*(1-0.15^2)*$H$6))^0.25))/SUMPRODUCT((1-{15,45,75,105,135,165}/(($F$6*$B$10^3/(12*(1-0.15^2)*$H$6))^0.25))*({15,45,75,105,135,165}&lt;(($F$6*$B$10^3/(12*(1-0.15^2)*$H$6))^0.25)))),(1900*$B$5/38)),"另算")</f>
        <v>1900</v>
      </c>
      <c r="C30" s="22" t="inlineStr">
        <is>
          <t>z≤.3cm</t>
        </is>
      </c>
      <c r="D30" s="22" t="inlineStr">
        <is>
          <t>伸縫Pc (kgf)</t>
        </is>
      </c>
      <c r="E30" s="32">
        <f>IF(ISNUMBER($D$3),MAX((0.45*(5*$B$5/28*1000)*(1-12.5/(($F$6*$B$10^3/(12*(1-0.15^2)*$H$6))^0.25))/SUMPRODUCT((1-{12.5,37.5,62.5,87.5,112.5,137.5,162.5,187.5,212.5,237.5,262.5,287.5}/(($F$6*$B$10^3/(12*(1-0.15^2)*$H$6))^0.25))*({12.5,37.5,62.5,87.5,112.5,137.5,162.5,187.5,212.5,237.5,262.5,287.5}&lt;(($F$6*$B$10^3/(12*(1-0.15^2)*$H$6))^0.25)))),(1540*$B$5/38)),"另算")</f>
        <v>1540</v>
      </c>
      <c r="F30" s="22" t="inlineStr">
        <is>
          <t>z≤2.5cm</t>
        </is>
      </c>
      <c r="G30" s="22" t="inlineStr">
        <is>
          <t>取兩法較大</t>
        </is>
      </c>
      <c r="H30" s="22" t="inlineStr">
        <is>
          <t>本案同條件</t>
        </is>
      </c>
    </row>
    <row r="31" ht="16" customHeight="1">
      <c r="A31" s="6" t="inlineStr">
        <is>
          <t>檢核項目</t>
        </is>
      </c>
      <c r="B31" s="6" t="inlineStr">
        <is>
          <t>需求</t>
        </is>
      </c>
      <c r="C31" s="6" t="inlineStr">
        <is>
          <t>容許／提供</t>
        </is>
      </c>
      <c r="D31" s="6" t="inlineStr">
        <is>
          <t>容許÷需求</t>
        </is>
      </c>
      <c r="E31" s="6" t="inlineStr">
        <is>
          <t>判定</t>
        </is>
      </c>
      <c r="F31" s="6" t="inlineStr">
        <is>
          <t>依據／說明</t>
        </is>
      </c>
      <c r="G31" s="7" t="n"/>
      <c r="H31" s="7" t="n"/>
    </row>
    <row r="32" ht="16" customHeight="1">
      <c r="A32" s="8" t="str">
        <f>IF(AND(ISNUMBER($B$30),ISNUMBER($E$30)),IF(((41520*($B$30)*(2+((41520*($F$10)/(4*2040000*(PI()*($F$10)^4/64)))^0.25)*.3)/(4*((41520*($F$10)/(4*2040000*(PI()*($F$10)^4/64)))^0.25)^3*2040000*(PI()*($F$10)^4/64)))/((4-($F$10)/2.54)*$H$5/3)&gt;=(41520*($E$30)*(2+((41520*(3.2000000000000002)/(4*2040000*(PI()*(3.2000000000000002)^4/64)))^0.25)*2.5)/(4*((41520*(3.2000000000000002)/(4*2040000*(PI()*(3.2000000000000002)^4/64)))^0.25)^3*2040000*(PI()*(3.2000000000000002)^4/64)))/((4-(3.2000000000000002)/2.54)*$H$5/3)),"窄縫σb (kgf/cm²)","伸縫σb (kgf/cm²)"),"J1承壓需另算")</f>
        <v>伸縫σb (kgf/cm²)</v>
      </c>
      <c r="B32" s="32">
        <f>IF(AND(ISNUMBER($B$30),ISNUMBER($E$30)),IF(((41520*($B$30)*(2+((41520*($F$10)/(4*2040000*(PI()*($F$10)^4/64)))^0.25)*.3)/(4*((41520*($F$10)/(4*2040000*(PI()*($F$10)^4/64)))^0.25)^3*2040000*(PI()*($F$10)^4/64)))/((4-($F$10)/2.54)*$H$5/3)&gt;=(41520*($E$30)*(2+((41520*(3.2000000000000002)/(4*2040000*(PI()*(3.2000000000000002)^4/64)))^0.25)*2.5)/(4*((41520*(3.2000000000000002)/(4*2040000*(PI()*(3.2000000000000002)^4/64)))^0.25)^3*2040000*(PI()*(3.2000000000000002)^4/64)))/((4-(3.2000000000000002)/2.54)*$H$5/3)),(41520*($B$30)*(2+((41520*($F$10)/(4*2040000*(PI()*($F$10)^4/64)))^0.25)*.3)/(4*((41520*($F$10)/(4*2040000*(PI()*($F$10)^4/64)))^0.25)^3*2040000*(PI()*($F$10)^4/64))),(41520*($E$30)*(2+((41520*(3.2000000000000002)/(4*2040000*(PI()*(3.2000000000000002)^4/64)))^0.25)*2.5)/(4*((41520*(3.2000000000000002)/(4*2040000*(PI()*(3.2000000000000002)^4/64)))^0.25)^3*2040000*(PI()*(3.2000000000000002)^4/64)))),"另算")</f>
        <v>295.932249692949</v>
      </c>
      <c r="C32" s="32">
        <f>IF(AND(ISNUMBER($B$30),ISNUMBER($E$30)),IF(((41520*($B$30)*(2+((41520*($F$10)/(4*2040000*(PI()*($F$10)^4/64)))^0.25)*.3)/(4*((41520*($F$10)/(4*2040000*(PI()*($F$10)^4/64)))^0.25)^3*2040000*(PI()*($F$10)^4/64)))/((4-($F$10)/2.54)*$H$5/3)&gt;=(41520*($E$30)*(2+((41520*(3.2000000000000002)/(4*2040000*(PI()*(3.2000000000000002)^4/64)))^0.25)*2.5)/(4*((41520*(3.2000000000000002)/(4*2040000*(PI()*(3.2000000000000002)^4/64)))^0.25)^3*2040000*(PI()*(3.2000000000000002)^4/64)))/((4-(3.2000000000000002)/2.54)*$H$5/3)),((4-($F$10)/2.54)*$H$5/3),((4-(3.2000000000000002)/2.54)*$H$5/3)),"—")</f>
        <v>319.685039370079</v>
      </c>
      <c r="D32" s="29">
        <f>IF(AND(ISNUMBER(B32),ISNUMBER(C32),B32&gt;0),C32/B32,"—")</f>
        <v>1.08026428245578</v>
      </c>
      <c r="E32" s="26" t="str">
        <f>IF(ISNUMBER(D32),IF(D32&gt;=1,"OK","不足"),"另算")</f>
        <v>OK</v>
      </c>
      <c r="F32" s="22" t="str">
        <f>IF(AND(ISNUMBER($B$30),ISNUMBER($E$30)),IF(((41520*($B$30)*(2+((41520*($F$10)/(4*2040000*(PI()*($F$10)^4/64)))^0.25)*.3)/(4*((41520*($F$10)/(4*2040000*(PI()*($F$10)^4/64)))^0.25)^3*2040000*(PI()*($F$10)^4/64)))/((4-($F$10)/2.54)*$H$5/3)&gt;=(41520*($E$30)*(2+((41520*(3.2000000000000002)/(4*2040000*(PI()*(3.2000000000000002)^4/64)))^0.25)*2.5)/(4*((41520*(3.2000000000000002)/(4*2040000*(PI()*(3.2000000000000002)^4/64)))^0.25)^3*2040000*(PI()*(3.2000000000000002)^4/64)))/((4-(3.2000000000000002)/2.54)*$H$5/3)),"另：伸縫σ/容="&amp;TEXT((41520*($E$30)*(2+((41520*(3.2000000000000002)/(4*2040000*(PI()*(3.2000000000000002)^4/64)))^0.25)*2.5)/(4*((41520*(3.2000000000000002)/(4*2040000*(PI()*(3.2000000000000002)^4/64)))^0.25)^3*2040000*(PI()*(3.2000000000000002)^4/64))),"0.0")&amp;"/"&amp;TEXT(((4-(3.2000000000000002)/2.54)*$H$5/3),"0.0"),"另：窄縫σ/容="&amp;TEXT((41520*($B$30)*(2+((41520*($F$10)/(4*2040000*(PI()*($F$10)^4/64)))^0.25)*.3)/(4*((41520*($F$10)/(4*2040000*(PI()*($F$10)^4/64)))^0.25)^3*2040000*(PI()*($F$10)^4/64))),"0.0")&amp;"/"&amp;TEXT(((4-($F$10)/2.54)*$H$5/3),"0.0")),"僅本案同條件，其他另算")</f>
        <v>另：窄縫σ/容=291.6/319.7</v>
      </c>
      <c r="G32" s="23" t="n"/>
      <c r="H32" s="23" t="n"/>
    </row>
    <row r="33" ht="16" customHeight="1">
      <c r="A33" s="5" t="str">
        <f>"埋入長（每側扣1cm誤差）：窄縫21.35／伸縫20.25cm；β低×最短Le＝"&amp;TEXT(((8304*$F$10/(4*2040000*(PI()*$F$10^4/64)))^0.25)*20.25,"0.00")&amp;"≥2，半無限梁假設成立（K₀低=8304）。"</f>
        <v>埋入長（每側扣1cm誤差）：窄縫21.35／伸縫20.25cm；β低×最短Le＝3.21≥2，半無限梁假設成立（K₀低=8304）。</v>
      </c>
      <c r="B33" s="2" t="n"/>
      <c r="C33" s="2" t="n"/>
      <c r="D33" s="2" t="n"/>
      <c r="E33" s="2" t="n"/>
      <c r="F33" s="2" t="n"/>
      <c r="G33" s="2" t="n"/>
      <c r="H33" s="2" t="n"/>
    </row>
    <row r="34" ht="18" customHeight="1">
      <c r="A34" s="17" t="inlineStr">
        <is>
          <t>④ 中央縱縫竹節拉結筋：D16×L80cm @80cm（每4m板5支，距橫縫40cm）</t>
        </is>
      </c>
      <c r="B34" s="18" t="n"/>
      <c r="C34" s="18" t="n"/>
      <c r="D34" s="18" t="n"/>
      <c r="E34" s="18" t="n"/>
      <c r="F34" s="18" t="n"/>
      <c r="G34" s="18" t="n"/>
      <c r="H34" s="18" t="n"/>
    </row>
    <row r="35" ht="15" customHeight="1">
      <c r="A35" s="27" t="inlineStr">
        <is>
          <t>拉力 T＝μ·γ·h·b·s（μ＝2.5、γ＝0.0024kgf/cm³、b＝車道寬）；σ＝T/As ≤ 0.75fy＝3,150 kgf/cm²　[4]</t>
        </is>
      </c>
      <c r="B35" s="2" t="n"/>
      <c r="C35" s="2" t="n"/>
      <c r="D35" s="2" t="n"/>
      <c r="E35" s="2" t="n"/>
      <c r="F35" s="2" t="n"/>
      <c r="G35" s="2" t="n"/>
      <c r="H35" s="2" t="n"/>
    </row>
    <row r="36" ht="16" customHeight="1">
      <c r="A36" s="8" t="inlineStr">
        <is>
          <t>拉桿拉應力 (kgf/cm²)</t>
        </is>
      </c>
      <c r="B36" s="32">
        <f>2.5*0.0024*$B$10*$B$9*100*$H$10/1.986</f>
        <v>1812.68882175227</v>
      </c>
      <c r="C36" s="32">
        <f>0.75*4200</f>
        <v>3150</v>
      </c>
      <c r="D36" s="29">
        <f>IF(B36&gt;0,C36/B36,"—")</f>
        <v>1.73775</v>
      </c>
      <c r="E36" s="26" t="str">
        <f>IF(D36&gt;=1,"OK","不足")</f>
        <v>OK</v>
      </c>
      <c r="F36" s="22" t="inlineStr">
        <is>
          <t>μ 改用上限4.0 時仍 OK（比值約1.09）</t>
        </is>
      </c>
      <c r="G36" s="23" t="n"/>
      <c r="H36" s="23" t="n"/>
    </row>
    <row r="37" ht="15" customHeight="1">
      <c r="A37" s="27" t="inlineStr">
        <is>
          <t>錨定 ld＝max{30, fy·ψs·db / [3.5·√fc′·min((cb+Ktr)/db, 2.5)]}；fy＝4200kgf/cm²、ψs＝0.8、db＝1.59cm；可用＝80/2−2（居中誤差）−0.05　[5]</t>
        </is>
      </c>
      <c r="B37" s="2" t="n"/>
      <c r="C37" s="2" t="n"/>
      <c r="D37" s="2" t="n"/>
      <c r="E37" s="2" t="n"/>
      <c r="F37" s="2" t="n"/>
      <c r="G37" s="2" t="n"/>
      <c r="H37" s="2" t="n"/>
    </row>
    <row r="38" ht="16" customHeight="1">
      <c r="A38" s="8" t="inlineStr">
        <is>
          <t>拉桿每側錨定長 (cm)</t>
        </is>
      </c>
      <c r="B38" s="32">
        <f>MAX(30,4200*0.8*1.59/(3.5*SQRT($H$5)*2.5))</f>
        <v>32.63580477241</v>
      </c>
      <c r="C38" s="32">
        <f>80/2-2-0.05</f>
        <v>37.95</v>
      </c>
      <c r="D38" s="29">
        <f>IF(B38&gt;0,C38/B38,"—")</f>
        <v>1.16283328279015</v>
      </c>
      <c r="E38" s="26" t="str">
        <f>IF(D38&gt;=1,"OK","不足")</f>
        <v>OK</v>
      </c>
      <c r="F38" s="22" t="inlineStr">
        <is>
          <t>直線錨定</t>
        </is>
      </c>
      <c r="G38" s="23" t="n"/>
      <c r="H38" s="23" t="n"/>
    </row>
    <row r="39" ht="18" customHeight="1">
      <c r="A39" s="17" t="inlineStr">
        <is>
          <t>⑤ 構造與施工條件（本表結論成立的前提）</t>
        </is>
      </c>
      <c r="B39" s="18" t="n"/>
      <c r="C39" s="18" t="n"/>
      <c r="D39" s="18" t="n"/>
      <c r="E39" s="18" t="n"/>
      <c r="F39" s="18" t="n"/>
      <c r="G39" s="18" t="n"/>
      <c r="H39" s="18" t="n"/>
    </row>
    <row r="40" ht="16" customHeight="1">
      <c r="A40" s="8" t="inlineStr">
        <is>
          <t>縮縫間距 (cm)</t>
        </is>
      </c>
      <c r="B40" s="33" t="n">
        <v>400</v>
      </c>
      <c r="C40" s="33">
        <f>24*$B$10</f>
        <v>600</v>
      </c>
      <c r="D40" s="29">
        <f>IF(B40&gt;0,C40/B40,"—")</f>
        <v>1.5</v>
      </c>
      <c r="E40" s="26" t="str">
        <f>IF(D40&gt;=1,"OK","不足")</f>
        <v>OK</v>
      </c>
      <c r="F40" s="22" t="inlineStr">
        <is>
          <t>≤24h（市區道路設計規範 9.5.5）</t>
        </is>
      </c>
      <c r="G40" s="23" t="n"/>
      <c r="H40" s="23" t="n"/>
    </row>
    <row r="41" ht="27" customHeight="1">
      <c r="A41" s="34" t="inlineStr">
        <is>
          <t>1. 素混凝土板（不配鋼筋網）。版塊 4m×3m，縮縫切深 h/3≈8.5cm，依施工綱要規範02751 §3.2.8 於澆置後 8~24 小時內鋸縫（熱天提早）。</t>
        </is>
      </c>
      <c r="B41" s="2" t="n"/>
      <c r="C41" s="2" t="n"/>
      <c r="D41" s="2" t="n"/>
      <c r="E41" s="2" t="n"/>
      <c r="F41" s="2" t="n"/>
      <c r="G41" s="2" t="n"/>
      <c r="H41" s="2" t="n"/>
    </row>
    <row r="42" ht="27" customHeight="1">
      <c r="A42" s="34" t="inlineStr">
        <is>
          <t>2. 不做級配底層：刮除表土與鬆土 → 振動壓路機壓實（滿載車試壓不下陷）→ 凸出大卵石敲除、低處用碎石補平壓實，頂面高程±2cm，任何位置板厚不得小於 h。</t>
        </is>
      </c>
      <c r="B42" s="2" t="n"/>
      <c r="C42" s="2" t="n"/>
      <c r="D42" s="2" t="n"/>
      <c r="E42" s="2" t="n"/>
      <c r="F42" s="2" t="n"/>
      <c r="G42" s="2" t="n"/>
      <c r="H42" s="2" t="n"/>
    </row>
    <row r="43" ht="15" customHeight="1">
      <c r="A43" s="34" t="inlineStr">
        <is>
          <t>3. 澆置前把礫石面灑水濕潤（不積水）；路面做 1.5~2% 橫坡，外側板邊回填夯實，防雨水淘刷板底。</t>
        </is>
      </c>
      <c r="B43" s="2" t="n"/>
      <c r="C43" s="2" t="n"/>
      <c r="D43" s="2" t="n"/>
      <c r="E43" s="2" t="n"/>
      <c r="F43" s="2" t="n"/>
      <c r="G43" s="2" t="n"/>
      <c r="H43" s="2" t="n"/>
    </row>
    <row r="44" ht="15" customHeight="1">
      <c r="A44" s="34" t="inlineStr">
        <is>
          <t>4. MR≥45kgf/cm²須依CNS1233試驗；f′c＝350kgf/cm²暫採，非MR換算。本表未完成板剪力/沖切與傳力桿鋼材抗力檢核。超重須重算。</t>
        </is>
      </c>
      <c r="B44" s="2" t="n"/>
      <c r="C44" s="2" t="n"/>
      <c r="D44" s="2" t="n"/>
      <c r="E44" s="2" t="n"/>
      <c r="F44" s="2" t="n"/>
      <c r="G44" s="2" t="n"/>
      <c r="H44" s="2" t="n"/>
    </row>
    <row r="45" ht="36" customHeight="1">
      <c r="A45" s="5" t="inlineStr">
        <is>
          <t>[1] TxDOT 0-6850-1 (2017) §3.3.2 式3.4~3.6　[2] SHRP-P-394 (1994) 式6.2（AASHTO 1993 原式）　[3] FHWA-HRT-06-106 (2009) 式12~24（Friberg）　[4] FHWA-HIF-16-026 (2016) p.41　[5] 混凝土結構設計規範112年版 §25.4.2.4　參數：FHWA NHI-05-037 表5-46、附錄C。AASHTO 1993 授權原本未取得，採上列公開原式。</t>
        </is>
      </c>
      <c r="B45" s="2" t="n"/>
      <c r="C45" s="2" t="n"/>
      <c r="D45" s="2" t="n"/>
      <c r="E45" s="2" t="n"/>
      <c r="F45" s="2" t="n"/>
      <c r="G45" s="2" t="n"/>
      <c r="H45" s="2" t="n"/>
    </row>
  </sheetData>
  <mergeCells count="38">
    <mergeCell ref="A39:H39"/>
    <mergeCell ref="F36:H36"/>
    <mergeCell ref="F32:H32"/>
    <mergeCell ref="A11:H11"/>
    <mergeCell ref="A1:H1"/>
    <mergeCell ref="A45:H45"/>
    <mergeCell ref="F23:H23"/>
    <mergeCell ref="F38:H38"/>
    <mergeCell ref="F22:H22"/>
    <mergeCell ref="F31:H31"/>
    <mergeCell ref="E12:H12"/>
    <mergeCell ref="A16:H16"/>
    <mergeCell ref="A41:H41"/>
    <mergeCell ref="A37:H37"/>
    <mergeCell ref="A4:C4"/>
    <mergeCell ref="A27:H27"/>
    <mergeCell ref="E14:H14"/>
    <mergeCell ref="A18:H18"/>
    <mergeCell ref="A3:C3"/>
    <mergeCell ref="A26:H26"/>
    <mergeCell ref="E15:F15"/>
    <mergeCell ref="G15:H15"/>
    <mergeCell ref="A2:H2"/>
    <mergeCell ref="E4:H4"/>
    <mergeCell ref="A42:H42"/>
    <mergeCell ref="A33:H33"/>
    <mergeCell ref="A17:H17"/>
    <mergeCell ref="E13:H13"/>
    <mergeCell ref="A29:H29"/>
    <mergeCell ref="A35:H35"/>
    <mergeCell ref="A20:H20"/>
    <mergeCell ref="A43:H43"/>
    <mergeCell ref="A28:H28"/>
    <mergeCell ref="F40:H40"/>
    <mergeCell ref="A19:H19"/>
    <mergeCell ref="A44:H44"/>
    <mergeCell ref="F21:H21"/>
    <mergeCell ref="A34:H34"/>
  </mergeCells>
  <conditionalFormatting sqref="E22">
    <cfRule type="expression" priority="1" dxfId="0">
      <formula>E22="不足"</formula>
    </cfRule>
    <cfRule type="expression" priority="2" dxfId="1">
      <formula>E22="OK"</formula>
    </cfRule>
  </conditionalFormatting>
  <conditionalFormatting sqref="E32">
    <cfRule type="expression" priority="3" dxfId="0">
      <formula>E32="不足"</formula>
    </cfRule>
    <cfRule type="expression" priority="4" dxfId="1">
      <formula>E32="OK"</formula>
    </cfRule>
  </conditionalFormatting>
  <conditionalFormatting sqref="E36">
    <cfRule type="expression" priority="5" dxfId="0">
      <formula>E36="不足"</formula>
    </cfRule>
    <cfRule type="expression" priority="6" dxfId="1">
      <formula>E36="OK"</formula>
    </cfRule>
  </conditionalFormatting>
  <conditionalFormatting sqref="E38">
    <cfRule type="expression" priority="7" dxfId="0">
      <formula>E38="不足"</formula>
    </cfRule>
    <cfRule type="expression" priority="8" dxfId="1">
      <formula>E38="OK"</formula>
    </cfRule>
  </conditionalFormatting>
  <conditionalFormatting sqref="E40">
    <cfRule type="expression" priority="9" dxfId="0">
      <formula>E40="不足"</formula>
    </cfRule>
    <cfRule type="expression" priority="10" dxfId="1">
      <formula>E40="OK"</formula>
    </cfRule>
  </conditionalFormatting>
  <conditionalFormatting sqref="B25:G25">
    <cfRule type="expression" priority="11" dxfId="0">
      <formula>B25&lt;1</formula>
    </cfRule>
  </conditionalFormatting>
  <conditionalFormatting sqref="A2">
    <cfRule type="expression" priority="12" dxfId="2">
      <formula>LEFT($A$2,2)="有檢"</formula>
    </cfRule>
  </conditionalFormatting>
  <printOptions horizontalCentered="1"/>
  <pageMargins left="0.5" right="0.5" top="0.5" bottom="0.5" header="0.5" footer="0.5"/>
  <pageSetup orientation="portrait" paperSize="9" fitToHeight="1" fitToWidth="1"/>
  <legacyDrawing ns1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2026-10-20T18:06:47Z</dcterms:created>
  <dcterms:modified xmlns:dcterms="http://purl.org/dc/terms/" xmlns:xsi="http://www.w3.org/2001/XMLSchema-instance" xsi:type="dcterms:W3CDTF">2026-10-20T18:06:47Z</dcterms:modified>
</cp:coreProperties>
</file>